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customProperty"/>
  <Override PartName="/xl/printerSettings/printerSettings1.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15" yWindow="0" windowWidth="28815" windowHeight="7140" firstSheet="6" activeTab="7"/>
  </bookViews>
  <sheets>
    <sheet name="角色表" sheetId="1" r:id="rId1"/>
    <sheet name="职业表" sheetId="2" r:id="rId2"/>
    <sheet name="等级属性" sheetId="3" r:id="rId3"/>
    <sheet name="我方士兵" sheetId="4" r:id="rId4"/>
    <sheet name="技能表" sheetId="5" r:id="rId5"/>
    <sheet name="锻造几率" sheetId="6" r:id="rId6"/>
    <sheet name="建筑物" sheetId="7" r:id="rId7"/>
    <sheet name="装备表" sheetId="8" r:id="rId8"/>
    <sheet name="装备部位" sheetId="11" r:id="rId9"/>
    <sheet name="道具表" sheetId="9" r:id="rId10"/>
    <sheet name="道具类型" sheetId="10" r:id="rId11"/>
    <sheet name="刷新几率表" sheetId="14" r:id="rId12"/>
    <sheet name="拍卖表" sheetId="12" r:id="rId13"/>
    <sheet name="皮肤表" sheetId="13" r:id="rId14"/>
    <sheet name="DV-IDENTITY-0" sheetId="15" state="veryHidden" r:id="rId15"/>
  </sheets>
  <calcPr calcId="125725"/>
</workbook>
</file>

<file path=xl/calcChain.xml><?xml version="1.0" encoding="utf-8"?>
<calcChain xmlns="http://schemas.openxmlformats.org/spreadsheetml/2006/main">
  <c r="M2" i="8"/>
  <c r="N3"/>
  <c r="N28" s="1"/>
  <c r="Z23"/>
  <c r="Z22"/>
  <c r="Z2"/>
  <c r="W23"/>
  <c r="W22"/>
  <c r="W18"/>
  <c r="W15"/>
  <c r="W14"/>
  <c r="W10"/>
  <c r="T7"/>
  <c r="T28" s="1"/>
  <c r="T6"/>
  <c r="T27" s="1"/>
  <c r="Q18"/>
  <c r="N5"/>
  <c r="N30" s="1"/>
  <c r="N4"/>
  <c r="N29" s="1"/>
  <c r="N2"/>
  <c r="N27" s="1"/>
  <c r="D23"/>
  <c r="D24"/>
  <c r="D25"/>
  <c r="D22"/>
  <c r="D19"/>
  <c r="D20"/>
  <c r="D21"/>
  <c r="D18"/>
  <c r="D15"/>
  <c r="D16"/>
  <c r="D17"/>
  <c r="D14"/>
  <c r="D11"/>
  <c r="D12"/>
  <c r="D13"/>
  <c r="D10"/>
  <c r="D7"/>
  <c r="D8"/>
  <c r="D9"/>
  <c r="D6"/>
  <c r="C23"/>
  <c r="C24"/>
  <c r="C25"/>
  <c r="C22"/>
  <c r="C19"/>
  <c r="C20"/>
  <c r="C21"/>
  <c r="C18"/>
  <c r="C11"/>
  <c r="C12"/>
  <c r="C13"/>
  <c r="C10"/>
  <c r="C7"/>
  <c r="C8"/>
  <c r="C9"/>
  <c r="C6"/>
  <c r="E3"/>
  <c r="E23" s="1"/>
  <c r="E4"/>
  <c r="E24" s="1"/>
  <c r="E5"/>
  <c r="E25" s="1"/>
  <c r="E2"/>
  <c r="E22" s="1"/>
  <c r="C3"/>
  <c r="C4"/>
  <c r="C5"/>
  <c r="C2"/>
  <c r="F64"/>
  <c r="F65"/>
  <c r="F66"/>
  <c r="F67"/>
  <c r="F68"/>
  <c r="F69"/>
  <c r="F70"/>
  <c r="F71"/>
  <c r="F72"/>
  <c r="F73"/>
  <c r="F74"/>
  <c r="F75"/>
  <c r="F77" s="1"/>
  <c r="F63"/>
  <c r="B61"/>
  <c r="F5" i="7"/>
  <c r="X23" i="8"/>
  <c r="X24" s="1"/>
  <c r="Z24" s="1"/>
  <c r="Y23"/>
  <c r="Y22"/>
  <c r="U23"/>
  <c r="V24" s="1"/>
  <c r="V23"/>
  <c r="V22"/>
  <c r="U19"/>
  <c r="V20" s="1"/>
  <c r="V19"/>
  <c r="V18"/>
  <c r="O19"/>
  <c r="P19" s="1"/>
  <c r="P18"/>
  <c r="U15"/>
  <c r="V16" s="1"/>
  <c r="V15"/>
  <c r="V14"/>
  <c r="Y3"/>
  <c r="V11"/>
  <c r="S7"/>
  <c r="U11"/>
  <c r="U12" s="1"/>
  <c r="W12" s="1"/>
  <c r="V10"/>
  <c r="S6"/>
  <c r="R7"/>
  <c r="S8" s="1"/>
  <c r="Y2"/>
  <c r="X3"/>
  <c r="Y4" s="1"/>
  <c r="L3"/>
  <c r="L4" s="1"/>
  <c r="L5" s="1"/>
  <c r="M3"/>
  <c r="H229" i="14"/>
  <c r="H230" s="1"/>
  <c r="H231" s="1"/>
  <c r="H232" s="1"/>
  <c r="H233" s="1"/>
  <c r="H234" s="1"/>
  <c r="H235" s="1"/>
  <c r="H236" s="1"/>
  <c r="H220"/>
  <c r="H221" s="1"/>
  <c r="H222" s="1"/>
  <c r="H223" s="1"/>
  <c r="H224" s="1"/>
  <c r="H225" s="1"/>
  <c r="H226" s="1"/>
  <c r="H227" s="1"/>
  <c r="H212"/>
  <c r="H213" s="1"/>
  <c r="H214" s="1"/>
  <c r="H215" s="1"/>
  <c r="H216" s="1"/>
  <c r="H217" s="1"/>
  <c r="H218" s="1"/>
  <c r="H211"/>
  <c r="H202"/>
  <c r="H203" s="1"/>
  <c r="H204" s="1"/>
  <c r="H205" s="1"/>
  <c r="H206" s="1"/>
  <c r="H207" s="1"/>
  <c r="H208" s="1"/>
  <c r="H209" s="1"/>
  <c r="H196"/>
  <c r="H197" s="1"/>
  <c r="H198" s="1"/>
  <c r="H199" s="1"/>
  <c r="H200" s="1"/>
  <c r="H195"/>
  <c r="H194"/>
  <c r="H193"/>
  <c r="H185"/>
  <c r="H186" s="1"/>
  <c r="H187" s="1"/>
  <c r="H188" s="1"/>
  <c r="H189" s="1"/>
  <c r="H190" s="1"/>
  <c r="H191" s="1"/>
  <c r="H184"/>
  <c r="H176"/>
  <c r="H177" s="1"/>
  <c r="H178" s="1"/>
  <c r="H179" s="1"/>
  <c r="H180" s="1"/>
  <c r="H181" s="1"/>
  <c r="H182" s="1"/>
  <c r="H175"/>
  <c r="H166"/>
  <c r="H167" s="1"/>
  <c r="H168" s="1"/>
  <c r="H169" s="1"/>
  <c r="H170" s="1"/>
  <c r="H171" s="1"/>
  <c r="H172" s="1"/>
  <c r="H173" s="1"/>
  <c r="H157"/>
  <c r="H158" s="1"/>
  <c r="H159" s="1"/>
  <c r="H160" s="1"/>
  <c r="H161" s="1"/>
  <c r="H162" s="1"/>
  <c r="H163" s="1"/>
  <c r="H164" s="1"/>
  <c r="H148"/>
  <c r="H149" s="1"/>
  <c r="H150" s="1"/>
  <c r="H151" s="1"/>
  <c r="H152" s="1"/>
  <c r="H153" s="1"/>
  <c r="H154" s="1"/>
  <c r="H155" s="1"/>
  <c r="H139"/>
  <c r="H140" s="1"/>
  <c r="H141" s="1"/>
  <c r="H142" s="1"/>
  <c r="H143" s="1"/>
  <c r="H144" s="1"/>
  <c r="H145" s="1"/>
  <c r="H146" s="1"/>
  <c r="H130"/>
  <c r="H131" s="1"/>
  <c r="H132" s="1"/>
  <c r="H133" s="1"/>
  <c r="H134" s="1"/>
  <c r="H135" s="1"/>
  <c r="H136" s="1"/>
  <c r="H137" s="1"/>
  <c r="H121"/>
  <c r="H122" s="1"/>
  <c r="H123" s="1"/>
  <c r="H124" s="1"/>
  <c r="H125" s="1"/>
  <c r="H126" s="1"/>
  <c r="H127" s="1"/>
  <c r="H128" s="1"/>
  <c r="H112"/>
  <c r="H113" s="1"/>
  <c r="H114" s="1"/>
  <c r="H115" s="1"/>
  <c r="H116" s="1"/>
  <c r="H117" s="1"/>
  <c r="H118" s="1"/>
  <c r="H119" s="1"/>
  <c r="H103"/>
  <c r="H104" s="1"/>
  <c r="H105" s="1"/>
  <c r="H106" s="1"/>
  <c r="H107" s="1"/>
  <c r="H108" s="1"/>
  <c r="H109" s="1"/>
  <c r="H110" s="1"/>
  <c r="H95"/>
  <c r="H96" s="1"/>
  <c r="H97" s="1"/>
  <c r="H98" s="1"/>
  <c r="H99" s="1"/>
  <c r="H100" s="1"/>
  <c r="H101" s="1"/>
  <c r="H94"/>
  <c r="H88"/>
  <c r="H89" s="1"/>
  <c r="H90" s="1"/>
  <c r="H91" s="1"/>
  <c r="H92" s="1"/>
  <c r="H87"/>
  <c r="H86"/>
  <c r="H85"/>
  <c r="H76"/>
  <c r="H77" s="1"/>
  <c r="H78" s="1"/>
  <c r="H79" s="1"/>
  <c r="H80" s="1"/>
  <c r="H81" s="1"/>
  <c r="H82" s="1"/>
  <c r="H83" s="1"/>
  <c r="H70"/>
  <c r="H71" s="1"/>
  <c r="H72" s="1"/>
  <c r="H73" s="1"/>
  <c r="H74" s="1"/>
  <c r="H69"/>
  <c r="H68"/>
  <c r="H67"/>
  <c r="H61"/>
  <c r="H62" s="1"/>
  <c r="H63" s="1"/>
  <c r="H64" s="1"/>
  <c r="H65" s="1"/>
  <c r="H60"/>
  <c r="H59"/>
  <c r="H58"/>
  <c r="H49"/>
  <c r="H50" s="1"/>
  <c r="H51" s="1"/>
  <c r="H52" s="1"/>
  <c r="H53" s="1"/>
  <c r="H54" s="1"/>
  <c r="H55" s="1"/>
  <c r="H56" s="1"/>
  <c r="H40"/>
  <c r="H41" s="1"/>
  <c r="H42" s="1"/>
  <c r="H43" s="1"/>
  <c r="H44" s="1"/>
  <c r="H45" s="1"/>
  <c r="H46" s="1"/>
  <c r="H47" s="1"/>
  <c r="H31"/>
  <c r="H32" s="1"/>
  <c r="H33" s="1"/>
  <c r="H34" s="1"/>
  <c r="H35" s="1"/>
  <c r="H36" s="1"/>
  <c r="H37" s="1"/>
  <c r="H38" s="1"/>
  <c r="H23"/>
  <c r="H24" s="1"/>
  <c r="H25" s="1"/>
  <c r="H26" s="1"/>
  <c r="H27" s="1"/>
  <c r="H28" s="1"/>
  <c r="H29" s="1"/>
  <c r="H22"/>
  <c r="Z27" i="8" l="1"/>
  <c r="Q27"/>
  <c r="W27"/>
  <c r="F89"/>
  <c r="F78"/>
  <c r="Q19"/>
  <c r="W11"/>
  <c r="W19"/>
  <c r="Z3"/>
  <c r="F83"/>
  <c r="F90"/>
  <c r="F93" s="1"/>
  <c r="F85"/>
  <c r="F79"/>
  <c r="F86"/>
  <c r="F81"/>
  <c r="F76"/>
  <c r="F87"/>
  <c r="F82"/>
  <c r="E15"/>
  <c r="E8"/>
  <c r="E12"/>
  <c r="E16"/>
  <c r="E9"/>
  <c r="E13"/>
  <c r="E17"/>
  <c r="E7"/>
  <c r="E11"/>
  <c r="E6"/>
  <c r="E10"/>
  <c r="E14"/>
  <c r="F100"/>
  <c r="F88"/>
  <c r="F84"/>
  <c r="F80"/>
  <c r="F97"/>
  <c r="R8"/>
  <c r="U16"/>
  <c r="O20"/>
  <c r="U20"/>
  <c r="U24"/>
  <c r="Y24"/>
  <c r="X25"/>
  <c r="Z25" s="1"/>
  <c r="Y25"/>
  <c r="U25"/>
  <c r="W25" s="1"/>
  <c r="U13"/>
  <c r="W13" s="1"/>
  <c r="V13"/>
  <c r="X4"/>
  <c r="V12"/>
  <c r="M4"/>
  <c r="M5"/>
  <c r="A11" i="15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A10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B10"/>
  <c r="BC10"/>
  <c r="BD10"/>
  <c r="BE10"/>
  <c r="BF10"/>
  <c r="A9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EP9"/>
  <c r="EQ9"/>
  <c r="ER9"/>
  <c r="ES9"/>
  <c r="ET9"/>
  <c r="EU9"/>
  <c r="EV9"/>
  <c r="EW9"/>
  <c r="EX9"/>
  <c r="EY9"/>
  <c r="EZ9"/>
  <c r="FA9"/>
  <c r="FB9"/>
  <c r="FC9"/>
  <c r="FD9"/>
  <c r="FE9"/>
  <c r="FF9"/>
  <c r="FG9"/>
  <c r="FJ9"/>
  <c r="FL9"/>
  <c r="FM9"/>
  <c r="FN9"/>
  <c r="FO9"/>
  <c r="FP9"/>
  <c r="FQ9"/>
  <c r="FR9"/>
  <c r="FS9"/>
  <c r="FT9"/>
  <c r="FU9"/>
  <c r="FV9"/>
  <c r="FW9"/>
  <c r="FX9"/>
  <c r="FY9"/>
  <c r="FZ9"/>
  <c r="GA9"/>
  <c r="GB9"/>
  <c r="GC9"/>
  <c r="GD9"/>
  <c r="GE9"/>
  <c r="GF9"/>
  <c r="GG9"/>
  <c r="GH9"/>
  <c r="GI9"/>
  <c r="GJ9"/>
  <c r="GK9"/>
  <c r="GL9"/>
  <c r="GM9"/>
  <c r="GN9"/>
  <c r="GO9"/>
  <c r="GP9"/>
  <c r="GQ9"/>
  <c r="GR9"/>
  <c r="GS9"/>
  <c r="GT9"/>
  <c r="GU9"/>
  <c r="GV9"/>
  <c r="GW9"/>
  <c r="GX9"/>
  <c r="GY9"/>
  <c r="GZ9"/>
  <c r="HA9"/>
  <c r="HB9"/>
  <c r="HC9"/>
  <c r="HD9"/>
  <c r="HE9"/>
  <c r="HF9"/>
  <c r="HG9"/>
  <c r="HH9"/>
  <c r="HI9"/>
  <c r="HJ9"/>
  <c r="HK9"/>
  <c r="HL9"/>
  <c r="HM9"/>
  <c r="HN9"/>
  <c r="HO9"/>
  <c r="HP9"/>
  <c r="HQ9"/>
  <c r="HR9"/>
  <c r="HS9"/>
  <c r="HT9"/>
  <c r="HU9"/>
  <c r="HV9"/>
  <c r="HW9"/>
  <c r="HX9"/>
  <c r="HY9"/>
  <c r="HZ9"/>
  <c r="IA9"/>
  <c r="IB9"/>
  <c r="IC9"/>
  <c r="ID9"/>
  <c r="IE9"/>
  <c r="IF9"/>
  <c r="IG9"/>
  <c r="IH9"/>
  <c r="II9"/>
  <c r="IJ9"/>
  <c r="IK9"/>
  <c r="IL9"/>
  <c r="IM9"/>
  <c r="IN9"/>
  <c r="IO9"/>
  <c r="IP9"/>
  <c r="IQ9"/>
  <c r="IR9"/>
  <c r="IS9"/>
  <c r="IT9"/>
  <c r="IU9"/>
  <c r="IV9"/>
  <c r="A8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CP8"/>
  <c r="CQ8"/>
  <c r="CR8"/>
  <c r="CS8"/>
  <c r="CT8"/>
  <c r="CU8"/>
  <c r="CV8"/>
  <c r="CW8"/>
  <c r="CX8"/>
  <c r="CY8"/>
  <c r="CZ8"/>
  <c r="DA8"/>
  <c r="DB8"/>
  <c r="DC8"/>
  <c r="DD8"/>
  <c r="DE8"/>
  <c r="DF8"/>
  <c r="DG8"/>
  <c r="DH8"/>
  <c r="DI8"/>
  <c r="DJ8"/>
  <c r="DK8"/>
  <c r="DL8"/>
  <c r="DM8"/>
  <c r="DN8"/>
  <c r="DO8"/>
  <c r="DP8"/>
  <c r="DQ8"/>
  <c r="DR8"/>
  <c r="DS8"/>
  <c r="DT8"/>
  <c r="DU8"/>
  <c r="DV8"/>
  <c r="DW8"/>
  <c r="DX8"/>
  <c r="DY8"/>
  <c r="DZ8"/>
  <c r="EA8"/>
  <c r="EB8"/>
  <c r="EC8"/>
  <c r="ED8"/>
  <c r="EE8"/>
  <c r="EF8"/>
  <c r="EG8"/>
  <c r="EH8"/>
  <c r="EI8"/>
  <c r="EJ8"/>
  <c r="EK8"/>
  <c r="EL8"/>
  <c r="EM8"/>
  <c r="EN8"/>
  <c r="EO8"/>
  <c r="EP8"/>
  <c r="EQ8"/>
  <c r="ER8"/>
  <c r="ES8"/>
  <c r="ET8"/>
  <c r="EU8"/>
  <c r="EV8"/>
  <c r="EW8"/>
  <c r="EX8"/>
  <c r="EY8"/>
  <c r="EZ8"/>
  <c r="FA8"/>
  <c r="FB8"/>
  <c r="FC8"/>
  <c r="FD8"/>
  <c r="FE8"/>
  <c r="FF8"/>
  <c r="FG8"/>
  <c r="FH8"/>
  <c r="FI8"/>
  <c r="FJ8"/>
  <c r="FK8"/>
  <c r="FL8"/>
  <c r="FM8"/>
  <c r="FN8"/>
  <c r="FO8"/>
  <c r="FP8"/>
  <c r="FQ8"/>
  <c r="FR8"/>
  <c r="FS8"/>
  <c r="FT8"/>
  <c r="FU8"/>
  <c r="FV8"/>
  <c r="FW8"/>
  <c r="FX8"/>
  <c r="FY8"/>
  <c r="FZ8"/>
  <c r="GA8"/>
  <c r="GB8"/>
  <c r="GC8"/>
  <c r="GD8"/>
  <c r="GE8"/>
  <c r="GF8"/>
  <c r="GG8"/>
  <c r="GH8"/>
  <c r="GI8"/>
  <c r="GJ8"/>
  <c r="GK8"/>
  <c r="GL8"/>
  <c r="GM8"/>
  <c r="GN8"/>
  <c r="GO8"/>
  <c r="GP8"/>
  <c r="GQ8"/>
  <c r="GR8"/>
  <c r="GS8"/>
  <c r="GT8"/>
  <c r="GU8"/>
  <c r="GV8"/>
  <c r="GW8"/>
  <c r="GX8"/>
  <c r="GY8"/>
  <c r="GZ8"/>
  <c r="HA8"/>
  <c r="HB8"/>
  <c r="HC8"/>
  <c r="HD8"/>
  <c r="HE8"/>
  <c r="HF8"/>
  <c r="HG8"/>
  <c r="HH8"/>
  <c r="HI8"/>
  <c r="HJ8"/>
  <c r="HK8"/>
  <c r="HL8"/>
  <c r="HM8"/>
  <c r="HN8"/>
  <c r="HO8"/>
  <c r="HP8"/>
  <c r="HQ8"/>
  <c r="HR8"/>
  <c r="HS8"/>
  <c r="HT8"/>
  <c r="HU8"/>
  <c r="HV8"/>
  <c r="HW8"/>
  <c r="HX8"/>
  <c r="HY8"/>
  <c r="HZ8"/>
  <c r="IA8"/>
  <c r="IB8"/>
  <c r="IC8"/>
  <c r="ID8"/>
  <c r="IE8"/>
  <c r="IF8"/>
  <c r="IG8"/>
  <c r="IH8"/>
  <c r="II8"/>
  <c r="IJ8"/>
  <c r="IK8"/>
  <c r="IL8"/>
  <c r="IM8"/>
  <c r="IN8"/>
  <c r="IO8"/>
  <c r="IP8"/>
  <c r="IQ8"/>
  <c r="IR8"/>
  <c r="IS8"/>
  <c r="IT8"/>
  <c r="IU8"/>
  <c r="IV8"/>
  <c r="A7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CH7"/>
  <c r="CI7"/>
  <c r="CJ7"/>
  <c r="CK7"/>
  <c r="CL7"/>
  <c r="CM7"/>
  <c r="CN7"/>
  <c r="CO7"/>
  <c r="CP7"/>
  <c r="CQ7"/>
  <c r="CR7"/>
  <c r="CS7"/>
  <c r="CT7"/>
  <c r="CU7"/>
  <c r="CV7"/>
  <c r="CW7"/>
  <c r="CX7"/>
  <c r="CY7"/>
  <c r="CZ7"/>
  <c r="DA7"/>
  <c r="DB7"/>
  <c r="DC7"/>
  <c r="DD7"/>
  <c r="DE7"/>
  <c r="DF7"/>
  <c r="DG7"/>
  <c r="DH7"/>
  <c r="DI7"/>
  <c r="DJ7"/>
  <c r="DK7"/>
  <c r="DL7"/>
  <c r="DM7"/>
  <c r="DN7"/>
  <c r="DO7"/>
  <c r="DP7"/>
  <c r="DQ7"/>
  <c r="DR7"/>
  <c r="DS7"/>
  <c r="DT7"/>
  <c r="DU7"/>
  <c r="DV7"/>
  <c r="DW7"/>
  <c r="DX7"/>
  <c r="DY7"/>
  <c r="DZ7"/>
  <c r="EA7"/>
  <c r="EB7"/>
  <c r="EC7"/>
  <c r="ED7"/>
  <c r="EE7"/>
  <c r="EF7"/>
  <c r="EG7"/>
  <c r="EH7"/>
  <c r="EI7"/>
  <c r="EJ7"/>
  <c r="EK7"/>
  <c r="EL7"/>
  <c r="EM7"/>
  <c r="EN7"/>
  <c r="EO7"/>
  <c r="EP7"/>
  <c r="EQ7"/>
  <c r="ER7"/>
  <c r="ES7"/>
  <c r="ET7"/>
  <c r="EU7"/>
  <c r="EV7"/>
  <c r="EW7"/>
  <c r="EX7"/>
  <c r="EY7"/>
  <c r="EZ7"/>
  <c r="FA7"/>
  <c r="FB7"/>
  <c r="FC7"/>
  <c r="FD7"/>
  <c r="FE7"/>
  <c r="FF7"/>
  <c r="FG7"/>
  <c r="FH7"/>
  <c r="FI7"/>
  <c r="FJ7"/>
  <c r="FK7"/>
  <c r="FL7"/>
  <c r="FM7"/>
  <c r="FN7"/>
  <c r="FO7"/>
  <c r="FP7"/>
  <c r="FQ7"/>
  <c r="FR7"/>
  <c r="FS7"/>
  <c r="FT7"/>
  <c r="FU7"/>
  <c r="FV7"/>
  <c r="FW7"/>
  <c r="FX7"/>
  <c r="FY7"/>
  <c r="FZ7"/>
  <c r="GA7"/>
  <c r="GB7"/>
  <c r="GC7"/>
  <c r="GD7"/>
  <c r="GE7"/>
  <c r="GF7"/>
  <c r="GG7"/>
  <c r="GH7"/>
  <c r="GI7"/>
  <c r="GJ7"/>
  <c r="GK7"/>
  <c r="GL7"/>
  <c r="GM7"/>
  <c r="GN7"/>
  <c r="GO7"/>
  <c r="GP7"/>
  <c r="GQ7"/>
  <c r="GR7"/>
  <c r="GS7"/>
  <c r="GT7"/>
  <c r="GU7"/>
  <c r="GV7"/>
  <c r="GW7"/>
  <c r="GX7"/>
  <c r="GY7"/>
  <c r="GZ7"/>
  <c r="HA7"/>
  <c r="HB7"/>
  <c r="HC7"/>
  <c r="HD7"/>
  <c r="HE7"/>
  <c r="HF7"/>
  <c r="HG7"/>
  <c r="HH7"/>
  <c r="HI7"/>
  <c r="HJ7"/>
  <c r="HK7"/>
  <c r="HL7"/>
  <c r="HM7"/>
  <c r="HN7"/>
  <c r="HO7"/>
  <c r="HP7"/>
  <c r="HQ7"/>
  <c r="HR7"/>
  <c r="HS7"/>
  <c r="HT7"/>
  <c r="HU7"/>
  <c r="HV7"/>
  <c r="HW7"/>
  <c r="HX7"/>
  <c r="HY7"/>
  <c r="HZ7"/>
  <c r="IA7"/>
  <c r="IB7"/>
  <c r="IC7"/>
  <c r="ID7"/>
  <c r="IE7"/>
  <c r="IF7"/>
  <c r="IG7"/>
  <c r="IH7"/>
  <c r="II7"/>
  <c r="IJ7"/>
  <c r="IK7"/>
  <c r="IL7"/>
  <c r="IM7"/>
  <c r="IN7"/>
  <c r="IO7"/>
  <c r="IP7"/>
  <c r="IQ7"/>
  <c r="IR7"/>
  <c r="IS7"/>
  <c r="IT7"/>
  <c r="IU7"/>
  <c r="IV7"/>
  <c r="A6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GJ6"/>
  <c r="GK6"/>
  <c r="GL6"/>
  <c r="GM6"/>
  <c r="GN6"/>
  <c r="GO6"/>
  <c r="GP6"/>
  <c r="GQ6"/>
  <c r="GR6"/>
  <c r="GS6"/>
  <c r="GT6"/>
  <c r="GU6"/>
  <c r="GV6"/>
  <c r="GW6"/>
  <c r="GX6"/>
  <c r="GY6"/>
  <c r="GZ6"/>
  <c r="HA6"/>
  <c r="HB6"/>
  <c r="HC6"/>
  <c r="HD6"/>
  <c r="HE6"/>
  <c r="HF6"/>
  <c r="HG6"/>
  <c r="HH6"/>
  <c r="HI6"/>
  <c r="HJ6"/>
  <c r="HK6"/>
  <c r="HL6"/>
  <c r="HM6"/>
  <c r="HN6"/>
  <c r="HO6"/>
  <c r="HP6"/>
  <c r="HQ6"/>
  <c r="HR6"/>
  <c r="HS6"/>
  <c r="HT6"/>
  <c r="HU6"/>
  <c r="HV6"/>
  <c r="HW6"/>
  <c r="HX6"/>
  <c r="HY6"/>
  <c r="HZ6"/>
  <c r="IA6"/>
  <c r="IB6"/>
  <c r="IC6"/>
  <c r="ID6"/>
  <c r="IE6"/>
  <c r="IF6"/>
  <c r="IG6"/>
  <c r="IH6"/>
  <c r="II6"/>
  <c r="IJ6"/>
  <c r="IK6"/>
  <c r="IL6"/>
  <c r="IM6"/>
  <c r="IN6"/>
  <c r="IO6"/>
  <c r="IP6"/>
  <c r="IQ6"/>
  <c r="IR6"/>
  <c r="IS6"/>
  <c r="IT6"/>
  <c r="IU6"/>
  <c r="IV6"/>
  <c r="A5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GL5"/>
  <c r="GM5"/>
  <c r="GN5"/>
  <c r="GO5"/>
  <c r="GP5"/>
  <c r="GQ5"/>
  <c r="GR5"/>
  <c r="GS5"/>
  <c r="GT5"/>
  <c r="GU5"/>
  <c r="GV5"/>
  <c r="GW5"/>
  <c r="GX5"/>
  <c r="GY5"/>
  <c r="GZ5"/>
  <c r="HA5"/>
  <c r="HB5"/>
  <c r="HC5"/>
  <c r="HD5"/>
  <c r="HE5"/>
  <c r="HF5"/>
  <c r="HG5"/>
  <c r="HH5"/>
  <c r="HI5"/>
  <c r="HJ5"/>
  <c r="HK5"/>
  <c r="HL5"/>
  <c r="HM5"/>
  <c r="HN5"/>
  <c r="HO5"/>
  <c r="HP5"/>
  <c r="HQ5"/>
  <c r="HR5"/>
  <c r="HS5"/>
  <c r="HT5"/>
  <c r="HU5"/>
  <c r="HV5"/>
  <c r="HW5"/>
  <c r="HX5"/>
  <c r="HY5"/>
  <c r="HZ5"/>
  <c r="IA5"/>
  <c r="IB5"/>
  <c r="IC5"/>
  <c r="ID5"/>
  <c r="IE5"/>
  <c r="IF5"/>
  <c r="IG5"/>
  <c r="IH5"/>
  <c r="II5"/>
  <c r="IJ5"/>
  <c r="IK5"/>
  <c r="IL5"/>
  <c r="IM5"/>
  <c r="IN5"/>
  <c r="IO5"/>
  <c r="IP5"/>
  <c r="IQ5"/>
  <c r="IR5"/>
  <c r="IS5"/>
  <c r="IT5"/>
  <c r="IU5"/>
  <c r="IV5"/>
  <c r="A4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K4"/>
  <c r="FL4"/>
  <c r="FM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GL4"/>
  <c r="GM4"/>
  <c r="GN4"/>
  <c r="GO4"/>
  <c r="GP4"/>
  <c r="GQ4"/>
  <c r="GR4"/>
  <c r="GS4"/>
  <c r="GT4"/>
  <c r="GU4"/>
  <c r="GV4"/>
  <c r="GW4"/>
  <c r="GX4"/>
  <c r="GY4"/>
  <c r="GZ4"/>
  <c r="HA4"/>
  <c r="HB4"/>
  <c r="HC4"/>
  <c r="HD4"/>
  <c r="HE4"/>
  <c r="HF4"/>
  <c r="HG4"/>
  <c r="HH4"/>
  <c r="HI4"/>
  <c r="HJ4"/>
  <c r="HK4"/>
  <c r="HL4"/>
  <c r="HM4"/>
  <c r="HN4"/>
  <c r="HO4"/>
  <c r="HP4"/>
  <c r="HQ4"/>
  <c r="HR4"/>
  <c r="HS4"/>
  <c r="HT4"/>
  <c r="HU4"/>
  <c r="HV4"/>
  <c r="HW4"/>
  <c r="HX4"/>
  <c r="HY4"/>
  <c r="HZ4"/>
  <c r="IA4"/>
  <c r="IB4"/>
  <c r="IC4"/>
  <c r="ID4"/>
  <c r="IE4"/>
  <c r="IF4"/>
  <c r="IG4"/>
  <c r="IH4"/>
  <c r="II4"/>
  <c r="IJ4"/>
  <c r="IK4"/>
  <c r="IL4"/>
  <c r="IM4"/>
  <c r="IN4"/>
  <c r="IO4"/>
  <c r="IP4"/>
  <c r="IQ4"/>
  <c r="IR4"/>
  <c r="IS4"/>
  <c r="IT4"/>
  <c r="IU4"/>
  <c r="IV4"/>
  <c r="A3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EJ3"/>
  <c r="EK3"/>
  <c r="EL3"/>
  <c r="EM3"/>
  <c r="EN3"/>
  <c r="EO3"/>
  <c r="EP3"/>
  <c r="EQ3"/>
  <c r="ER3"/>
  <c r="ES3"/>
  <c r="ET3"/>
  <c r="EU3"/>
  <c r="EV3"/>
  <c r="EW3"/>
  <c r="EX3"/>
  <c r="EY3"/>
  <c r="EZ3"/>
  <c r="FA3"/>
  <c r="FB3"/>
  <c r="FC3"/>
  <c r="FD3"/>
  <c r="FE3"/>
  <c r="FF3"/>
  <c r="FG3"/>
  <c r="FH3"/>
  <c r="FI3"/>
  <c r="FJ3"/>
  <c r="FK3"/>
  <c r="FL3"/>
  <c r="FM3"/>
  <c r="FN3"/>
  <c r="FO3"/>
  <c r="FP3"/>
  <c r="FQ3"/>
  <c r="FR3"/>
  <c r="FS3"/>
  <c r="FT3"/>
  <c r="FU3"/>
  <c r="FV3"/>
  <c r="FW3"/>
  <c r="FX3"/>
  <c r="FY3"/>
  <c r="FZ3"/>
  <c r="GA3"/>
  <c r="GB3"/>
  <c r="GC3"/>
  <c r="GD3"/>
  <c r="GE3"/>
  <c r="GF3"/>
  <c r="GG3"/>
  <c r="GH3"/>
  <c r="GI3"/>
  <c r="GJ3"/>
  <c r="GK3"/>
  <c r="GL3"/>
  <c r="GM3"/>
  <c r="GN3"/>
  <c r="GO3"/>
  <c r="GP3"/>
  <c r="GQ3"/>
  <c r="GR3"/>
  <c r="GS3"/>
  <c r="GT3"/>
  <c r="GU3"/>
  <c r="GV3"/>
  <c r="GW3"/>
  <c r="GX3"/>
  <c r="GY3"/>
  <c r="GZ3"/>
  <c r="HA3"/>
  <c r="HB3"/>
  <c r="HC3"/>
  <c r="HD3"/>
  <c r="HE3"/>
  <c r="HF3"/>
  <c r="HG3"/>
  <c r="HH3"/>
  <c r="HI3"/>
  <c r="HJ3"/>
  <c r="HK3"/>
  <c r="HL3"/>
  <c r="HM3"/>
  <c r="HN3"/>
  <c r="HO3"/>
  <c r="HP3"/>
  <c r="HQ3"/>
  <c r="HR3"/>
  <c r="HS3"/>
  <c r="HT3"/>
  <c r="HU3"/>
  <c r="HV3"/>
  <c r="HW3"/>
  <c r="HX3"/>
  <c r="HY3"/>
  <c r="HZ3"/>
  <c r="IA3"/>
  <c r="IB3"/>
  <c r="IC3"/>
  <c r="ID3"/>
  <c r="IE3"/>
  <c r="IF3"/>
  <c r="IG3"/>
  <c r="IH3"/>
  <c r="II3"/>
  <c r="IJ3"/>
  <c r="IK3"/>
  <c r="IL3"/>
  <c r="IM3"/>
  <c r="IN3"/>
  <c r="IO3"/>
  <c r="IP3"/>
  <c r="IQ3"/>
  <c r="IR3"/>
  <c r="IS3"/>
  <c r="IT3"/>
  <c r="IU3"/>
  <c r="IV3"/>
  <c r="A2"/>
  <c r="B2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CP2"/>
  <c r="CQ2"/>
  <c r="CR2"/>
  <c r="CS2"/>
  <c r="CT2"/>
  <c r="CU2"/>
  <c r="CV2"/>
  <c r="CW2"/>
  <c r="CX2"/>
  <c r="CY2"/>
  <c r="CZ2"/>
  <c r="DA2"/>
  <c r="DB2"/>
  <c r="DC2"/>
  <c r="DD2"/>
  <c r="DE2"/>
  <c r="DF2"/>
  <c r="DG2"/>
  <c r="DH2"/>
  <c r="DI2"/>
  <c r="DJ2"/>
  <c r="DK2"/>
  <c r="DL2"/>
  <c r="DM2"/>
  <c r="DN2"/>
  <c r="DO2"/>
  <c r="DP2"/>
  <c r="DQ2"/>
  <c r="DR2"/>
  <c r="DS2"/>
  <c r="DT2"/>
  <c r="DU2"/>
  <c r="DV2"/>
  <c r="DW2"/>
  <c r="DX2"/>
  <c r="DY2"/>
  <c r="DZ2"/>
  <c r="EA2"/>
  <c r="EB2"/>
  <c r="EC2"/>
  <c r="ED2"/>
  <c r="EE2"/>
  <c r="EF2"/>
  <c r="EG2"/>
  <c r="EH2"/>
  <c r="EI2"/>
  <c r="EJ2"/>
  <c r="EK2"/>
  <c r="EL2"/>
  <c r="EM2"/>
  <c r="EN2"/>
  <c r="EO2"/>
  <c r="EP2"/>
  <c r="EQ2"/>
  <c r="ER2"/>
  <c r="ES2"/>
  <c r="ET2"/>
  <c r="EU2"/>
  <c r="EV2"/>
  <c r="EW2"/>
  <c r="EX2"/>
  <c r="EY2"/>
  <c r="EZ2"/>
  <c r="FA2"/>
  <c r="FB2"/>
  <c r="FC2"/>
  <c r="FD2"/>
  <c r="FE2"/>
  <c r="FF2"/>
  <c r="FG2"/>
  <c r="FH2"/>
  <c r="FI2"/>
  <c r="FJ2"/>
  <c r="FK2"/>
  <c r="FL2"/>
  <c r="FM2"/>
  <c r="FN2"/>
  <c r="FO2"/>
  <c r="FP2"/>
  <c r="FQ2"/>
  <c r="FR2"/>
  <c r="FS2"/>
  <c r="FT2"/>
  <c r="FU2"/>
  <c r="FV2"/>
  <c r="FW2"/>
  <c r="FX2"/>
  <c r="FY2"/>
  <c r="FZ2"/>
  <c r="GA2"/>
  <c r="GB2"/>
  <c r="GC2"/>
  <c r="GD2"/>
  <c r="GE2"/>
  <c r="GF2"/>
  <c r="GG2"/>
  <c r="GH2"/>
  <c r="GI2"/>
  <c r="GJ2"/>
  <c r="GK2"/>
  <c r="GL2"/>
  <c r="GM2"/>
  <c r="GN2"/>
  <c r="GO2"/>
  <c r="GP2"/>
  <c r="GQ2"/>
  <c r="GR2"/>
  <c r="GS2"/>
  <c r="GT2"/>
  <c r="GU2"/>
  <c r="GV2"/>
  <c r="GW2"/>
  <c r="GX2"/>
  <c r="GY2"/>
  <c r="GZ2"/>
  <c r="HA2"/>
  <c r="HB2"/>
  <c r="HC2"/>
  <c r="HD2"/>
  <c r="HE2"/>
  <c r="HF2"/>
  <c r="HG2"/>
  <c r="HH2"/>
  <c r="HI2"/>
  <c r="HJ2"/>
  <c r="HK2"/>
  <c r="HL2"/>
  <c r="HM2"/>
  <c r="HN2"/>
  <c r="HO2"/>
  <c r="HP2"/>
  <c r="HQ2"/>
  <c r="HR2"/>
  <c r="HS2"/>
  <c r="HT2"/>
  <c r="HU2"/>
  <c r="HV2"/>
  <c r="HW2"/>
  <c r="HX2"/>
  <c r="HY2"/>
  <c r="HZ2"/>
  <c r="IA2"/>
  <c r="IB2"/>
  <c r="IC2"/>
  <c r="ID2"/>
  <c r="IE2"/>
  <c r="IF2"/>
  <c r="IG2"/>
  <c r="IH2"/>
  <c r="II2"/>
  <c r="IJ2"/>
  <c r="IK2"/>
  <c r="IL2"/>
  <c r="IM2"/>
  <c r="IN2"/>
  <c r="IO2"/>
  <c r="IP2"/>
  <c r="IQ2"/>
  <c r="IR2"/>
  <c r="IS2"/>
  <c r="IT2"/>
  <c r="IU2"/>
  <c r="IV2"/>
  <c r="A1"/>
  <c r="B1"/>
  <c r="C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BJ1"/>
  <c r="BK1"/>
  <c r="BL1"/>
  <c r="BM1"/>
  <c r="BN1"/>
  <c r="BO1"/>
  <c r="BP1"/>
  <c r="BQ1"/>
  <c r="BR1"/>
  <c r="BS1"/>
  <c r="BT1"/>
  <c r="BU1"/>
  <c r="BV1"/>
  <c r="BW1"/>
  <c r="BX1"/>
  <c r="BY1"/>
  <c r="BZ1"/>
  <c r="CA1"/>
  <c r="CB1"/>
  <c r="CC1"/>
  <c r="CD1"/>
  <c r="CE1"/>
  <c r="CF1"/>
  <c r="CG1"/>
  <c r="CH1"/>
  <c r="CI1"/>
  <c r="CJ1"/>
  <c r="CK1"/>
  <c r="CL1"/>
  <c r="CM1"/>
  <c r="CN1"/>
  <c r="CO1"/>
  <c r="CP1"/>
  <c r="CQ1"/>
  <c r="CR1"/>
  <c r="CS1"/>
  <c r="CT1"/>
  <c r="CU1"/>
  <c r="CV1"/>
  <c r="CW1"/>
  <c r="CX1"/>
  <c r="CY1"/>
  <c r="CZ1"/>
  <c r="DA1"/>
  <c r="DB1"/>
  <c r="DC1"/>
  <c r="DD1"/>
  <c r="DE1"/>
  <c r="DF1"/>
  <c r="DG1"/>
  <c r="DH1"/>
  <c r="DI1"/>
  <c r="DJ1"/>
  <c r="DK1"/>
  <c r="DL1"/>
  <c r="DM1"/>
  <c r="DN1"/>
  <c r="DO1"/>
  <c r="DP1"/>
  <c r="DQ1"/>
  <c r="DR1"/>
  <c r="DS1"/>
  <c r="DT1"/>
  <c r="DU1"/>
  <c r="DV1"/>
  <c r="DW1"/>
  <c r="DX1"/>
  <c r="DY1"/>
  <c r="DZ1"/>
  <c r="EA1"/>
  <c r="EB1"/>
  <c r="EC1"/>
  <c r="ED1"/>
  <c r="EE1"/>
  <c r="EF1"/>
  <c r="EG1"/>
  <c r="EH1"/>
  <c r="EI1"/>
  <c r="EJ1"/>
  <c r="EK1"/>
  <c r="EL1"/>
  <c r="EM1"/>
  <c r="EN1"/>
  <c r="EO1"/>
  <c r="EP1"/>
  <c r="EQ1"/>
  <c r="ER1"/>
  <c r="ES1"/>
  <c r="ET1"/>
  <c r="EU1"/>
  <c r="EV1"/>
  <c r="EW1"/>
  <c r="EX1"/>
  <c r="EY1"/>
  <c r="EZ1"/>
  <c r="FA1"/>
  <c r="FB1"/>
  <c r="FC1"/>
  <c r="FD1"/>
  <c r="FE1"/>
  <c r="FF1"/>
  <c r="FG1"/>
  <c r="FH1"/>
  <c r="FI1"/>
  <c r="FJ1"/>
  <c r="FK1"/>
  <c r="FL1"/>
  <c r="FM1"/>
  <c r="FN1"/>
  <c r="FO1"/>
  <c r="FP1"/>
  <c r="FQ1"/>
  <c r="FR1"/>
  <c r="FS1"/>
  <c r="FT1"/>
  <c r="FU1"/>
  <c r="FV1"/>
  <c r="FW1"/>
  <c r="FX1"/>
  <c r="FY1"/>
  <c r="FZ1"/>
  <c r="GA1"/>
  <c r="GB1"/>
  <c r="GC1"/>
  <c r="GD1"/>
  <c r="GE1"/>
  <c r="GF1"/>
  <c r="GG1"/>
  <c r="GH1"/>
  <c r="GI1"/>
  <c r="GJ1"/>
  <c r="GK1"/>
  <c r="GL1"/>
  <c r="GM1"/>
  <c r="GN1"/>
  <c r="GO1"/>
  <c r="GP1"/>
  <c r="GQ1"/>
  <c r="GR1"/>
  <c r="GS1"/>
  <c r="GT1"/>
  <c r="GU1"/>
  <c r="GV1"/>
  <c r="GW1"/>
  <c r="GX1"/>
  <c r="GY1"/>
  <c r="GZ1"/>
  <c r="HA1"/>
  <c r="HB1"/>
  <c r="HC1"/>
  <c r="HD1"/>
  <c r="HE1"/>
  <c r="HF1"/>
  <c r="HG1"/>
  <c r="HH1"/>
  <c r="HI1"/>
  <c r="HJ1"/>
  <c r="HK1"/>
  <c r="HL1"/>
  <c r="HM1"/>
  <c r="HN1"/>
  <c r="HO1"/>
  <c r="HP1"/>
  <c r="HQ1"/>
  <c r="HR1"/>
  <c r="HS1"/>
  <c r="HT1"/>
  <c r="HU1"/>
  <c r="HV1"/>
  <c r="HW1"/>
  <c r="HX1"/>
  <c r="HY1"/>
  <c r="HZ1"/>
  <c r="IA1"/>
  <c r="IB1"/>
  <c r="IC1"/>
  <c r="ID1"/>
  <c r="IE1"/>
  <c r="IF1"/>
  <c r="IG1"/>
  <c r="IH1"/>
  <c r="II1"/>
  <c r="IJ1"/>
  <c r="IK1"/>
  <c r="IL1"/>
  <c r="IM1"/>
  <c r="IN1"/>
  <c r="IO1"/>
  <c r="IP1"/>
  <c r="IQ1"/>
  <c r="IR1"/>
  <c r="IS1"/>
  <c r="IT1"/>
  <c r="IU1"/>
  <c r="IV1"/>
  <c r="F4" i="7"/>
  <c r="F6"/>
  <c r="G6" s="1"/>
  <c r="F7"/>
  <c r="F8"/>
  <c r="G8" s="1"/>
  <c r="F9"/>
  <c r="F10"/>
  <c r="G10" s="1"/>
  <c r="F11"/>
  <c r="F12"/>
  <c r="G12" s="1"/>
  <c r="F13"/>
  <c r="F14"/>
  <c r="G14" s="1"/>
  <c r="F15"/>
  <c r="F16"/>
  <c r="G16" s="1"/>
  <c r="F17"/>
  <c r="F18"/>
  <c r="G18" s="1"/>
  <c r="F19"/>
  <c r="F20"/>
  <c r="G20" s="1"/>
  <c r="F21"/>
  <c r="F22"/>
  <c r="G22" s="1"/>
  <c r="F23"/>
  <c r="F24"/>
  <c r="G24" s="1"/>
  <c r="F25"/>
  <c r="F26"/>
  <c r="G26" s="1"/>
  <c r="F27"/>
  <c r="F28"/>
  <c r="G28" s="1"/>
  <c r="F29"/>
  <c r="F30"/>
  <c r="G30" s="1"/>
  <c r="F31"/>
  <c r="F32"/>
  <c r="G32" s="1"/>
  <c r="F33"/>
  <c r="F34"/>
  <c r="G34" s="1"/>
  <c r="F35"/>
  <c r="F36"/>
  <c r="G36" s="1"/>
  <c r="F37"/>
  <c r="F38"/>
  <c r="G38" s="1"/>
  <c r="F39"/>
  <c r="F40"/>
  <c r="G40" s="1"/>
  <c r="F41"/>
  <c r="F42"/>
  <c r="G42" s="1"/>
  <c r="F43"/>
  <c r="F44"/>
  <c r="G44" s="1"/>
  <c r="F45"/>
  <c r="F46"/>
  <c r="G46" s="1"/>
  <c r="F47"/>
  <c r="F3"/>
  <c r="Z28" i="8" l="1"/>
  <c r="Q28"/>
  <c r="W28"/>
  <c r="F99"/>
  <c r="F91"/>
  <c r="Y5"/>
  <c r="Z4"/>
  <c r="R9"/>
  <c r="T9" s="1"/>
  <c r="T30" s="1"/>
  <c r="T8"/>
  <c r="T29" s="1"/>
  <c r="V25"/>
  <c r="W24"/>
  <c r="V17"/>
  <c r="W16"/>
  <c r="V21"/>
  <c r="W20"/>
  <c r="P20"/>
  <c r="Q20"/>
  <c r="U21"/>
  <c r="W21" s="1"/>
  <c r="F95"/>
  <c r="F102"/>
  <c r="F92"/>
  <c r="F105"/>
  <c r="F106" s="1"/>
  <c r="F98"/>
  <c r="F104"/>
  <c r="F101"/>
  <c r="F103"/>
  <c r="F94"/>
  <c r="F96"/>
  <c r="X5"/>
  <c r="Z5" s="1"/>
  <c r="O21"/>
  <c r="FK9" i="15"/>
  <c r="S9" i="8"/>
  <c r="FI9" i="15" s="1"/>
  <c r="U17" i="8"/>
  <c r="W17" s="1"/>
  <c r="G4" i="7"/>
  <c r="G47"/>
  <c r="G43"/>
  <c r="G39"/>
  <c r="G35"/>
  <c r="G31"/>
  <c r="G27"/>
  <c r="G23"/>
  <c r="G19"/>
  <c r="G15"/>
  <c r="G11"/>
  <c r="G7"/>
  <c r="G45"/>
  <c r="G41"/>
  <c r="G37"/>
  <c r="G33"/>
  <c r="G29"/>
  <c r="G25"/>
  <c r="G21"/>
  <c r="G17"/>
  <c r="G13"/>
  <c r="G9"/>
  <c r="G5"/>
  <c r="G47" i="3"/>
  <c r="W30" i="8" l="1"/>
  <c r="Z30"/>
  <c r="Q29"/>
  <c r="Z29"/>
  <c r="W29"/>
  <c r="FH9" i="15"/>
  <c r="P21" i="8"/>
  <c r="Q21"/>
  <c r="K2" i="3"/>
  <c r="J2"/>
  <c r="H4"/>
  <c r="K4" s="1"/>
  <c r="H5"/>
  <c r="K5" s="1"/>
  <c r="H6"/>
  <c r="K6" s="1"/>
  <c r="H7"/>
  <c r="K7" s="1"/>
  <c r="H8"/>
  <c r="K8" s="1"/>
  <c r="H9"/>
  <c r="K9" s="1"/>
  <c r="H10"/>
  <c r="K10" s="1"/>
  <c r="H11"/>
  <c r="K11" s="1"/>
  <c r="H12"/>
  <c r="K12" s="1"/>
  <c r="H13"/>
  <c r="K13" s="1"/>
  <c r="H14"/>
  <c r="K14" s="1"/>
  <c r="H15"/>
  <c r="K15" s="1"/>
  <c r="H16"/>
  <c r="K16" s="1"/>
  <c r="H17"/>
  <c r="K17" s="1"/>
  <c r="H18"/>
  <c r="K18" s="1"/>
  <c r="H19"/>
  <c r="K19" s="1"/>
  <c r="H20"/>
  <c r="K20" s="1"/>
  <c r="H21"/>
  <c r="K21" s="1"/>
  <c r="H22"/>
  <c r="K22" s="1"/>
  <c r="H23"/>
  <c r="K23" s="1"/>
  <c r="H24"/>
  <c r="K24" s="1"/>
  <c r="H25"/>
  <c r="K25" s="1"/>
  <c r="H26"/>
  <c r="K26" s="1"/>
  <c r="H27"/>
  <c r="K27" s="1"/>
  <c r="H28"/>
  <c r="K28" s="1"/>
  <c r="H29"/>
  <c r="K29" s="1"/>
  <c r="H30"/>
  <c r="K30" s="1"/>
  <c r="H31"/>
  <c r="K31" s="1"/>
  <c r="H32"/>
  <c r="K32" s="1"/>
  <c r="H33"/>
  <c r="K33" s="1"/>
  <c r="H34"/>
  <c r="K34" s="1"/>
  <c r="H35"/>
  <c r="K35" s="1"/>
  <c r="H36"/>
  <c r="K36" s="1"/>
  <c r="H37"/>
  <c r="K37" s="1"/>
  <c r="H38"/>
  <c r="K38" s="1"/>
  <c r="H39"/>
  <c r="K39" s="1"/>
  <c r="H40"/>
  <c r="K40" s="1"/>
  <c r="H41"/>
  <c r="K41" s="1"/>
  <c r="H42"/>
  <c r="K42" s="1"/>
  <c r="H43"/>
  <c r="K43" s="1"/>
  <c r="H44"/>
  <c r="K44" s="1"/>
  <c r="H45"/>
  <c r="K45" s="1"/>
  <c r="H46"/>
  <c r="K46" s="1"/>
  <c r="H3"/>
  <c r="K3" s="1"/>
  <c r="I4"/>
  <c r="F4" s="1"/>
  <c r="I5"/>
  <c r="J5" s="1"/>
  <c r="I6"/>
  <c r="J6" s="1"/>
  <c r="I7"/>
  <c r="F7" s="1"/>
  <c r="I8"/>
  <c r="F8" s="1"/>
  <c r="I9"/>
  <c r="J9" s="1"/>
  <c r="I10"/>
  <c r="J10" s="1"/>
  <c r="I11"/>
  <c r="F11" s="1"/>
  <c r="I12"/>
  <c r="F12" s="1"/>
  <c r="I13"/>
  <c r="J13" s="1"/>
  <c r="I14"/>
  <c r="J14" s="1"/>
  <c r="I15"/>
  <c r="F15" s="1"/>
  <c r="I16"/>
  <c r="F16" s="1"/>
  <c r="I17"/>
  <c r="J17" s="1"/>
  <c r="I18"/>
  <c r="J18" s="1"/>
  <c r="I19"/>
  <c r="F19" s="1"/>
  <c r="I20"/>
  <c r="F20" s="1"/>
  <c r="I21"/>
  <c r="J21" s="1"/>
  <c r="I22"/>
  <c r="J22" s="1"/>
  <c r="I23"/>
  <c r="F23" s="1"/>
  <c r="I24"/>
  <c r="F24" s="1"/>
  <c r="I25"/>
  <c r="J25" s="1"/>
  <c r="I26"/>
  <c r="J26" s="1"/>
  <c r="I27"/>
  <c r="F27" s="1"/>
  <c r="I28"/>
  <c r="F28" s="1"/>
  <c r="I29"/>
  <c r="J29" s="1"/>
  <c r="I30"/>
  <c r="J30" s="1"/>
  <c r="I31"/>
  <c r="F31" s="1"/>
  <c r="I32"/>
  <c r="F32" s="1"/>
  <c r="I33"/>
  <c r="J33" s="1"/>
  <c r="I34"/>
  <c r="J34" s="1"/>
  <c r="I35"/>
  <c r="F35" s="1"/>
  <c r="I36"/>
  <c r="F36" s="1"/>
  <c r="I37"/>
  <c r="J37" s="1"/>
  <c r="I38"/>
  <c r="J38" s="1"/>
  <c r="I39"/>
  <c r="F39" s="1"/>
  <c r="I40"/>
  <c r="F40" s="1"/>
  <c r="I41"/>
  <c r="J41" s="1"/>
  <c r="I42"/>
  <c r="J42" s="1"/>
  <c r="I43"/>
  <c r="F43" s="1"/>
  <c r="I44"/>
  <c r="F44" s="1"/>
  <c r="I45"/>
  <c r="J45" s="1"/>
  <c r="I46"/>
  <c r="J46" s="1"/>
  <c r="I3"/>
  <c r="J3" s="1"/>
  <c r="F3"/>
  <c r="F5"/>
  <c r="F6"/>
  <c r="F9"/>
  <c r="F10"/>
  <c r="F13"/>
  <c r="F14"/>
  <c r="F17"/>
  <c r="F18"/>
  <c r="F21"/>
  <c r="F22"/>
  <c r="F25"/>
  <c r="F26"/>
  <c r="F29"/>
  <c r="F30"/>
  <c r="F33"/>
  <c r="F34"/>
  <c r="F37"/>
  <c r="F38"/>
  <c r="F41"/>
  <c r="F42"/>
  <c r="F45"/>
  <c r="F46"/>
  <c r="F2"/>
  <c r="G6"/>
  <c r="G7"/>
  <c r="G8"/>
  <c r="E8" s="1"/>
  <c r="G9"/>
  <c r="E9" s="1"/>
  <c r="G10"/>
  <c r="G11"/>
  <c r="G12"/>
  <c r="E12" s="1"/>
  <c r="G13"/>
  <c r="E13" s="1"/>
  <c r="G14"/>
  <c r="G15"/>
  <c r="G16"/>
  <c r="E16" s="1"/>
  <c r="G17"/>
  <c r="E17" s="1"/>
  <c r="G18"/>
  <c r="G19"/>
  <c r="G20"/>
  <c r="E20" s="1"/>
  <c r="G21"/>
  <c r="E21" s="1"/>
  <c r="G22"/>
  <c r="G23"/>
  <c r="G24"/>
  <c r="E24" s="1"/>
  <c r="G25"/>
  <c r="E25" s="1"/>
  <c r="G26"/>
  <c r="G27"/>
  <c r="G28"/>
  <c r="E28" s="1"/>
  <c r="G29"/>
  <c r="E29" s="1"/>
  <c r="G30"/>
  <c r="G31"/>
  <c r="G32"/>
  <c r="E32" s="1"/>
  <c r="G33"/>
  <c r="E33" s="1"/>
  <c r="G34"/>
  <c r="G35"/>
  <c r="G36"/>
  <c r="E36" s="1"/>
  <c r="G37"/>
  <c r="E37" s="1"/>
  <c r="G38"/>
  <c r="G39"/>
  <c r="G40"/>
  <c r="E40" s="1"/>
  <c r="G41"/>
  <c r="E41" s="1"/>
  <c r="G42"/>
  <c r="G43"/>
  <c r="G44"/>
  <c r="E44" s="1"/>
  <c r="G45"/>
  <c r="E45" s="1"/>
  <c r="G46"/>
  <c r="G4"/>
  <c r="E4" s="1"/>
  <c r="G5"/>
  <c r="E5" s="1"/>
  <c r="G3"/>
  <c r="E3" s="1"/>
  <c r="E6"/>
  <c r="E7"/>
  <c r="E10"/>
  <c r="E11"/>
  <c r="E14"/>
  <c r="E15"/>
  <c r="E18"/>
  <c r="E19"/>
  <c r="E22"/>
  <c r="E23"/>
  <c r="E26"/>
  <c r="E27"/>
  <c r="E30"/>
  <c r="E31"/>
  <c r="E34"/>
  <c r="E35"/>
  <c r="E38"/>
  <c r="E39"/>
  <c r="E42"/>
  <c r="E43"/>
  <c r="E46"/>
  <c r="E2"/>
  <c r="Q30" i="8" l="1"/>
  <c r="J44" i="3"/>
  <c r="J40"/>
  <c r="J32"/>
  <c r="J24"/>
  <c r="J16"/>
  <c r="J8"/>
  <c r="J43"/>
  <c r="J39"/>
  <c r="J35"/>
  <c r="J31"/>
  <c r="J27"/>
  <c r="J23"/>
  <c r="J19"/>
  <c r="J15"/>
  <c r="J11"/>
  <c r="J7"/>
  <c r="J36"/>
  <c r="J28"/>
  <c r="J20"/>
  <c r="J12"/>
  <c r="J4"/>
</calcChain>
</file>

<file path=xl/sharedStrings.xml><?xml version="1.0" encoding="utf-8"?>
<sst xmlns="http://schemas.openxmlformats.org/spreadsheetml/2006/main" count="1076" uniqueCount="765">
  <si>
    <t>角色名称</t>
    <phoneticPr fontId="1" type="noConversion"/>
  </si>
  <si>
    <t>等级</t>
    <phoneticPr fontId="1" type="noConversion"/>
  </si>
  <si>
    <t>当前经验</t>
    <phoneticPr fontId="1" type="noConversion"/>
  </si>
  <si>
    <t>所持金币</t>
    <phoneticPr fontId="1" type="noConversion"/>
  </si>
  <si>
    <t>所持钻石</t>
    <phoneticPr fontId="1" type="noConversion"/>
  </si>
  <si>
    <t>现有行动力</t>
    <phoneticPr fontId="1" type="noConversion"/>
  </si>
  <si>
    <t>总行动力</t>
    <phoneticPr fontId="1" type="noConversion"/>
  </si>
  <si>
    <t>konami</t>
    <phoneticPr fontId="1" type="noConversion"/>
  </si>
  <si>
    <t>法师</t>
    <phoneticPr fontId="1" type="noConversion"/>
  </si>
  <si>
    <t>当前生命值</t>
    <phoneticPr fontId="1" type="noConversion"/>
  </si>
  <si>
    <t>当前法力值</t>
    <phoneticPr fontId="1" type="noConversion"/>
  </si>
  <si>
    <t>防御力</t>
    <phoneticPr fontId="1" type="noConversion"/>
  </si>
  <si>
    <t>升级点数</t>
    <phoneticPr fontId="1" type="noConversion"/>
  </si>
  <si>
    <t>yh_00001</t>
    <phoneticPr fontId="1" type="noConversion"/>
  </si>
  <si>
    <t>当前等级等级</t>
    <phoneticPr fontId="1" type="noConversion"/>
  </si>
  <si>
    <t>关联用户表ID</t>
    <phoneticPr fontId="1" type="noConversion"/>
  </si>
  <si>
    <t>角色ID</t>
    <phoneticPr fontId="1" type="noConversion"/>
  </si>
  <si>
    <t>职业ID</t>
    <phoneticPr fontId="1" type="noConversion"/>
  </si>
  <si>
    <t>zy_01</t>
    <phoneticPr fontId="1" type="noConversion"/>
  </si>
  <si>
    <t>荣誉点数</t>
    <phoneticPr fontId="1" type="noConversion"/>
  </si>
  <si>
    <t>攻击力</t>
    <phoneticPr fontId="1" type="noConversion"/>
  </si>
  <si>
    <t>职业ID</t>
    <phoneticPr fontId="1" type="noConversion"/>
  </si>
  <si>
    <t>名称</t>
    <phoneticPr fontId="1" type="noConversion"/>
  </si>
  <si>
    <t>职业描述</t>
    <phoneticPr fontId="1" type="noConversion"/>
  </si>
  <si>
    <t>zy_01</t>
    <phoneticPr fontId="1" type="noConversion"/>
  </si>
  <si>
    <t>zy_02</t>
  </si>
  <si>
    <t>战士</t>
    <phoneticPr fontId="1" type="noConversion"/>
  </si>
  <si>
    <t>职业ID</t>
    <phoneticPr fontId="1" type="noConversion"/>
  </si>
  <si>
    <t>经验</t>
    <phoneticPr fontId="1" type="noConversion"/>
  </si>
  <si>
    <t>生命值系数</t>
    <phoneticPr fontId="1" type="noConversion"/>
  </si>
  <si>
    <t>魔法值系数</t>
    <phoneticPr fontId="1" type="noConversion"/>
  </si>
  <si>
    <t>防御系数</t>
    <phoneticPr fontId="1" type="noConversion"/>
  </si>
  <si>
    <t>攻击系数</t>
    <phoneticPr fontId="1" type="noConversion"/>
  </si>
  <si>
    <t>伤害系数</t>
    <phoneticPr fontId="1" type="noConversion"/>
  </si>
  <si>
    <t>zy_01</t>
    <phoneticPr fontId="1" type="noConversion"/>
  </si>
  <si>
    <t>移动速度</t>
    <phoneticPr fontId="1" type="noConversion"/>
  </si>
  <si>
    <t>力量</t>
    <phoneticPr fontId="1" type="noConversion"/>
  </si>
  <si>
    <t>耐力</t>
    <phoneticPr fontId="1" type="noConversion"/>
  </si>
  <si>
    <t>智力</t>
    <phoneticPr fontId="1" type="noConversion"/>
  </si>
  <si>
    <t>攻击力</t>
    <phoneticPr fontId="1" type="noConversion"/>
  </si>
  <si>
    <t>防御力</t>
    <phoneticPr fontId="1" type="noConversion"/>
  </si>
  <si>
    <t>生命值</t>
    <phoneticPr fontId="1" type="noConversion"/>
  </si>
  <si>
    <t>法力值</t>
    <phoneticPr fontId="1" type="noConversion"/>
  </si>
  <si>
    <t>等级ID</t>
    <phoneticPr fontId="1" type="noConversion"/>
  </si>
  <si>
    <t>关联等级属性表ID</t>
    <phoneticPr fontId="1" type="noConversion"/>
  </si>
  <si>
    <t>zy_02</t>
    <phoneticPr fontId="1" type="noConversion"/>
  </si>
  <si>
    <t>dj_001</t>
    <phoneticPr fontId="1" type="noConversion"/>
  </si>
  <si>
    <t>士兵ID</t>
    <phoneticPr fontId="1" type="noConversion"/>
  </si>
  <si>
    <t>关联角色表</t>
    <phoneticPr fontId="1" type="noConversion"/>
  </si>
  <si>
    <t>关联技能表</t>
    <phoneticPr fontId="1" type="noConversion"/>
  </si>
  <si>
    <t>zy_03</t>
    <phoneticPr fontId="1" type="noConversion"/>
  </si>
  <si>
    <t>枪盾兵</t>
    <phoneticPr fontId="1" type="noConversion"/>
  </si>
  <si>
    <t>关联等级属性表</t>
    <phoneticPr fontId="1" type="noConversion"/>
  </si>
  <si>
    <t>关联职业表</t>
    <phoneticPr fontId="1" type="noConversion"/>
  </si>
  <si>
    <t>sb_0001</t>
    <phoneticPr fontId="1" type="noConversion"/>
  </si>
  <si>
    <t>js_00001</t>
    <phoneticPr fontId="1" type="noConversion"/>
  </si>
  <si>
    <t>js_00001</t>
    <phoneticPr fontId="1" type="noConversion"/>
  </si>
  <si>
    <t>jn_0001</t>
    <phoneticPr fontId="1" type="noConversion"/>
  </si>
  <si>
    <t>dj_0001</t>
    <phoneticPr fontId="1" type="noConversion"/>
  </si>
  <si>
    <t>dj_0002</t>
  </si>
  <si>
    <t>dj_0003</t>
  </si>
  <si>
    <t>dj_0004</t>
  </si>
  <si>
    <t>dj_0005</t>
  </si>
  <si>
    <t>dj_0006</t>
  </si>
  <si>
    <t>dj_0007</t>
  </si>
  <si>
    <t>dj_0008</t>
  </si>
  <si>
    <t>dj_0009</t>
  </si>
  <si>
    <t>dj_0010</t>
  </si>
  <si>
    <t>dj_0011</t>
  </si>
  <si>
    <t>dj_0012</t>
  </si>
  <si>
    <t>dj_0013</t>
  </si>
  <si>
    <t>dj_0014</t>
  </si>
  <si>
    <t>dj_0015</t>
  </si>
  <si>
    <t>dj_0016</t>
  </si>
  <si>
    <t>dj_0017</t>
  </si>
  <si>
    <t>dj_0018</t>
  </si>
  <si>
    <t>dj_0019</t>
  </si>
  <si>
    <t>dj_0020</t>
  </si>
  <si>
    <t>dj_0021</t>
  </si>
  <si>
    <t>dj_0022</t>
  </si>
  <si>
    <t>dj_0023</t>
  </si>
  <si>
    <t>dj_0024</t>
  </si>
  <si>
    <t>dj_0025</t>
  </si>
  <si>
    <t>dj_0026</t>
  </si>
  <si>
    <t>dj_0027</t>
  </si>
  <si>
    <t>dj_0028</t>
  </si>
  <si>
    <t>dj_0029</t>
  </si>
  <si>
    <t>dj_0030</t>
  </si>
  <si>
    <t>dj_0031</t>
  </si>
  <si>
    <t>dj_0032</t>
  </si>
  <si>
    <t>dj_0033</t>
  </si>
  <si>
    <t>dj_0034</t>
  </si>
  <si>
    <t>dj_0035</t>
  </si>
  <si>
    <t>dj_0036</t>
  </si>
  <si>
    <t>dj_0037</t>
  </si>
  <si>
    <t>dj_0038</t>
  </si>
  <si>
    <t>dj_0039</t>
  </si>
  <si>
    <t>dj_0040</t>
  </si>
  <si>
    <t>dj_0041</t>
  </si>
  <si>
    <t>dj_0042</t>
  </si>
  <si>
    <t>dj_0043</t>
  </si>
  <si>
    <t>dj_0044</t>
  </si>
  <si>
    <t>dj_0045</t>
  </si>
  <si>
    <t>dj_0046</t>
  </si>
  <si>
    <t>dj_0046</t>
    <phoneticPr fontId="1" type="noConversion"/>
  </si>
  <si>
    <t>zy_003</t>
    <phoneticPr fontId="1" type="noConversion"/>
  </si>
  <si>
    <t>当前等级</t>
    <phoneticPr fontId="1" type="noConversion"/>
  </si>
  <si>
    <t>生命值</t>
    <phoneticPr fontId="1" type="noConversion"/>
  </si>
  <si>
    <t>兵种阶段</t>
    <phoneticPr fontId="1" type="noConversion"/>
  </si>
  <si>
    <t>1阶</t>
    <phoneticPr fontId="1" type="noConversion"/>
  </si>
  <si>
    <t>粗陋枪兵</t>
    <phoneticPr fontId="1" type="noConversion"/>
  </si>
  <si>
    <t>攻击范围</t>
    <phoneticPr fontId="1" type="noConversion"/>
  </si>
  <si>
    <t>1格</t>
    <phoneticPr fontId="1" type="noConversion"/>
  </si>
  <si>
    <t>无</t>
    <phoneticPr fontId="1" type="noConversion"/>
  </si>
  <si>
    <t>CD冷却时间</t>
    <phoneticPr fontId="1" type="noConversion"/>
  </si>
  <si>
    <t>无</t>
    <phoneticPr fontId="1" type="noConversion"/>
  </si>
  <si>
    <t>15秒</t>
    <phoneticPr fontId="1" type="noConversion"/>
  </si>
  <si>
    <t>最大等级</t>
    <phoneticPr fontId="1" type="noConversion"/>
  </si>
  <si>
    <t>技能ID</t>
    <phoneticPr fontId="1" type="noConversion"/>
  </si>
  <si>
    <t>名称</t>
    <phoneticPr fontId="1" type="noConversion"/>
  </si>
  <si>
    <t>jn_0001</t>
    <phoneticPr fontId="1" type="noConversion"/>
  </si>
  <si>
    <t>关联职业ID</t>
    <phoneticPr fontId="1" type="noConversion"/>
  </si>
  <si>
    <t>zy_01</t>
    <phoneticPr fontId="1" type="noConversion"/>
  </si>
  <si>
    <t>最大等级</t>
    <phoneticPr fontId="1" type="noConversion"/>
  </si>
  <si>
    <t>zy_00</t>
    <phoneticPr fontId="1" type="noConversion"/>
  </si>
  <si>
    <t>全部</t>
    <phoneticPr fontId="1" type="noConversion"/>
  </si>
  <si>
    <t>解锁等级</t>
    <phoneticPr fontId="1" type="noConversion"/>
  </si>
  <si>
    <t>ID</t>
    <phoneticPr fontId="1" type="noConversion"/>
  </si>
  <si>
    <t>锻造等级</t>
    <phoneticPr fontId="1" type="noConversion"/>
  </si>
  <si>
    <t>武器等级</t>
    <phoneticPr fontId="1" type="noConversion"/>
  </si>
  <si>
    <t>锻造成功几率</t>
    <phoneticPr fontId="1" type="noConversion"/>
  </si>
  <si>
    <t>提升几率</t>
    <phoneticPr fontId="1" type="noConversion"/>
  </si>
  <si>
    <t>dz_001</t>
    <phoneticPr fontId="1" type="noConversion"/>
  </si>
  <si>
    <t>dz_002</t>
  </si>
  <si>
    <t>dz_003</t>
  </si>
  <si>
    <t>dz_004</t>
  </si>
  <si>
    <t>dz_005</t>
  </si>
  <si>
    <t>dz_006</t>
  </si>
  <si>
    <t>dz_007</t>
  </si>
  <si>
    <t>dz_008</t>
  </si>
  <si>
    <t>dz_009</t>
  </si>
  <si>
    <t>dz_010</t>
  </si>
  <si>
    <t>dz_011</t>
  </si>
  <si>
    <t>dz_012</t>
  </si>
  <si>
    <t>dz_013</t>
  </si>
  <si>
    <t>dz_014</t>
  </si>
  <si>
    <t>dz_015</t>
  </si>
  <si>
    <t>dz_016</t>
  </si>
  <si>
    <t>dz_017</t>
  </si>
  <si>
    <t>dz_018</t>
  </si>
  <si>
    <t>dz_019</t>
  </si>
  <si>
    <t>dz_020</t>
  </si>
  <si>
    <t>dz_021</t>
  </si>
  <si>
    <t>dz_022</t>
  </si>
  <si>
    <t>dz_023</t>
  </si>
  <si>
    <t>dz_024</t>
  </si>
  <si>
    <t>dz_025</t>
  </si>
  <si>
    <t>dz_026</t>
  </si>
  <si>
    <t>dz_027</t>
  </si>
  <si>
    <t>dz_028</t>
  </si>
  <si>
    <t>dz_029</t>
  </si>
  <si>
    <t>dz_030</t>
  </si>
  <si>
    <t>dz_031</t>
  </si>
  <si>
    <t>dz_032</t>
  </si>
  <si>
    <t>dz_033</t>
  </si>
  <si>
    <t>dz_034</t>
  </si>
  <si>
    <t>dz_035</t>
  </si>
  <si>
    <t>dz_036</t>
  </si>
  <si>
    <t>dz_037</t>
  </si>
  <si>
    <t>dz_038</t>
  </si>
  <si>
    <t>dz_039</t>
  </si>
  <si>
    <t>dz_040</t>
  </si>
  <si>
    <t>dz_041</t>
  </si>
  <si>
    <t>dz_042</t>
  </si>
  <si>
    <t>dz_043</t>
  </si>
  <si>
    <t>dz_044</t>
  </si>
  <si>
    <t>dz_045</t>
  </si>
  <si>
    <t>dz_046</t>
  </si>
  <si>
    <t>dz_047</t>
  </si>
  <si>
    <t>dz_048</t>
  </si>
  <si>
    <t>dz_049</t>
  </si>
  <si>
    <t>dz_050</t>
  </si>
  <si>
    <t>dz_051</t>
  </si>
  <si>
    <t>dz_052</t>
  </si>
  <si>
    <t>dz_053</t>
  </si>
  <si>
    <t>dz_054</t>
  </si>
  <si>
    <t>dz_055</t>
  </si>
  <si>
    <t>dz_056</t>
  </si>
  <si>
    <t>dz_057</t>
  </si>
  <si>
    <t>dz_058</t>
  </si>
  <si>
    <t>dz_059</t>
  </si>
  <si>
    <t>dz_060</t>
  </si>
  <si>
    <t>dz_061</t>
  </si>
  <si>
    <t>dz_062</t>
  </si>
  <si>
    <t>dz_063</t>
  </si>
  <si>
    <t>dz_064</t>
  </si>
  <si>
    <t>dz_065</t>
  </si>
  <si>
    <t>dz_066</t>
  </si>
  <si>
    <t>dz_067</t>
  </si>
  <si>
    <t>dz_068</t>
  </si>
  <si>
    <t>dz_069</t>
  </si>
  <si>
    <t>dz_070</t>
  </si>
  <si>
    <t>dz_071</t>
  </si>
  <si>
    <t>dz_072</t>
  </si>
  <si>
    <t>dz_073</t>
  </si>
  <si>
    <t>dz_074</t>
  </si>
  <si>
    <t>dz_075</t>
  </si>
  <si>
    <t>dz_076</t>
  </si>
  <si>
    <t>dz_077</t>
  </si>
  <si>
    <t>dz_078</t>
  </si>
  <si>
    <t>dz_079</t>
  </si>
  <si>
    <t>dz_080</t>
  </si>
  <si>
    <t>dz_081</t>
  </si>
  <si>
    <t>ID</t>
    <phoneticPr fontId="6" type="noConversion"/>
  </si>
  <si>
    <t>建筑名称</t>
    <phoneticPr fontId="6" type="noConversion"/>
  </si>
  <si>
    <t>建筑等级</t>
    <phoneticPr fontId="6" type="noConversion"/>
  </si>
  <si>
    <t>建筑阶段</t>
    <phoneticPr fontId="6" type="noConversion"/>
  </si>
  <si>
    <t>升级所需条件</t>
    <phoneticPr fontId="6" type="noConversion"/>
  </si>
  <si>
    <t>地基</t>
    <phoneticPr fontId="6" type="noConversion"/>
  </si>
  <si>
    <t>0级</t>
    <phoneticPr fontId="6" type="noConversion"/>
  </si>
  <si>
    <t>角色等级0</t>
    <phoneticPr fontId="6" type="noConversion"/>
  </si>
  <si>
    <t>1级</t>
    <phoneticPr fontId="6" type="noConversion"/>
  </si>
  <si>
    <t>角色等级1</t>
    <phoneticPr fontId="6" type="noConversion"/>
  </si>
  <si>
    <t>角色等级2</t>
    <phoneticPr fontId="6" type="noConversion"/>
  </si>
  <si>
    <t>角色等级3</t>
    <phoneticPr fontId="6" type="noConversion"/>
  </si>
  <si>
    <t>角色等级4</t>
  </si>
  <si>
    <t>角色等级5</t>
  </si>
  <si>
    <t>角色等级6</t>
  </si>
  <si>
    <t>角色等级7</t>
  </si>
  <si>
    <t>角色等级8</t>
  </si>
  <si>
    <t>角色等级9</t>
  </si>
  <si>
    <t>角色等级10</t>
  </si>
  <si>
    <t>角色等级11</t>
  </si>
  <si>
    <t>角色等级12</t>
  </si>
  <si>
    <t>角色等级13</t>
  </si>
  <si>
    <t>角色等级14</t>
  </si>
  <si>
    <t>2级</t>
  </si>
  <si>
    <t>角色等级15</t>
  </si>
  <si>
    <t>角色等级16</t>
  </si>
  <si>
    <t>角色等级17</t>
  </si>
  <si>
    <t>角色等级18</t>
  </si>
  <si>
    <t>角色等级19</t>
  </si>
  <si>
    <t>角色等级20</t>
  </si>
  <si>
    <t>角色等级21</t>
  </si>
  <si>
    <t>角色等级22</t>
  </si>
  <si>
    <t>角色等级23</t>
  </si>
  <si>
    <t>角色等级24</t>
  </si>
  <si>
    <t>角色等级25</t>
  </si>
  <si>
    <t>角色等级26</t>
  </si>
  <si>
    <t>角色等级27</t>
  </si>
  <si>
    <t>角色等级28</t>
  </si>
  <si>
    <t>角色等级29</t>
  </si>
  <si>
    <t>3级</t>
  </si>
  <si>
    <t>角色等级30</t>
  </si>
  <si>
    <t>角色等级31</t>
  </si>
  <si>
    <t>角色等级32</t>
  </si>
  <si>
    <t>角色等级33</t>
  </si>
  <si>
    <t>角色等级34</t>
  </si>
  <si>
    <t>角色等级35</t>
  </si>
  <si>
    <t>角色等级36</t>
  </si>
  <si>
    <t>角色等级37</t>
  </si>
  <si>
    <t>角色等级38</t>
  </si>
  <si>
    <t>角色等级39</t>
  </si>
  <si>
    <t>角色等级40</t>
  </si>
  <si>
    <t>角色等级41</t>
  </si>
  <si>
    <t>角色等级42</t>
  </si>
  <si>
    <t>角色等级43</t>
  </si>
  <si>
    <t>角色等级44</t>
  </si>
  <si>
    <t>角色等级45</t>
  </si>
  <si>
    <t>0秒</t>
    <phoneticPr fontId="6" type="noConversion"/>
  </si>
  <si>
    <t>10秒</t>
    <phoneticPr fontId="1" type="noConversion"/>
  </si>
  <si>
    <t>升至下一级所需时间</t>
    <phoneticPr fontId="6" type="noConversion"/>
  </si>
  <si>
    <t>升级下一级所用时间（分）</t>
    <phoneticPr fontId="1" type="noConversion"/>
  </si>
  <si>
    <t>防御力</t>
    <phoneticPr fontId="1" type="noConversion"/>
  </si>
  <si>
    <t>zy_01(法师)</t>
    <phoneticPr fontId="1" type="noConversion"/>
  </si>
  <si>
    <t>掉落金币</t>
    <phoneticPr fontId="1" type="noConversion"/>
  </si>
  <si>
    <t>掉落装备</t>
    <phoneticPr fontId="1" type="noConversion"/>
  </si>
  <si>
    <t>掉落魂数</t>
    <phoneticPr fontId="1" type="noConversion"/>
  </si>
  <si>
    <t>掉落道具</t>
    <phoneticPr fontId="1" type="noConversion"/>
  </si>
  <si>
    <t>好友数量</t>
    <phoneticPr fontId="1" type="noConversion"/>
  </si>
  <si>
    <t>消耗魂数</t>
    <phoneticPr fontId="1" type="noConversion"/>
  </si>
  <si>
    <t>解锁条件</t>
    <phoneticPr fontId="1" type="noConversion"/>
  </si>
  <si>
    <t>技能有效时间</t>
    <phoneticPr fontId="1" type="noConversion"/>
  </si>
  <si>
    <t>技能影响区域范围</t>
    <phoneticPr fontId="1" type="noConversion"/>
  </si>
  <si>
    <t>影响目标数量</t>
    <phoneticPr fontId="1" type="noConversion"/>
  </si>
  <si>
    <t>技能效果</t>
    <phoneticPr fontId="1" type="noConversion"/>
  </si>
  <si>
    <t>技能伤害值</t>
    <phoneticPr fontId="1" type="noConversion"/>
  </si>
  <si>
    <t>技能实际描述</t>
    <phoneticPr fontId="1" type="noConversion"/>
  </si>
  <si>
    <t>技能CD时间</t>
    <phoneticPr fontId="1" type="noConversion"/>
  </si>
  <si>
    <t>技能消耗</t>
    <phoneticPr fontId="1" type="noConversion"/>
  </si>
  <si>
    <t>虚弱诅咒</t>
    <phoneticPr fontId="1" type="noConversion"/>
  </si>
  <si>
    <t>痛苦诅咒</t>
    <phoneticPr fontId="1" type="noConversion"/>
  </si>
  <si>
    <t>灵魂冲击</t>
    <phoneticPr fontId="1" type="noConversion"/>
  </si>
  <si>
    <t>死亡步伐</t>
    <phoneticPr fontId="1" type="noConversion"/>
  </si>
  <si>
    <t>魂之结界</t>
    <phoneticPr fontId="1" type="noConversion"/>
  </si>
  <si>
    <t>灵魂守卫</t>
    <phoneticPr fontId="1" type="noConversion"/>
  </si>
  <si>
    <t>千魂</t>
    <phoneticPr fontId="1" type="noConversion"/>
  </si>
  <si>
    <t>聚魂之力</t>
    <phoneticPr fontId="1" type="noConversion"/>
  </si>
  <si>
    <t>jn_0002</t>
  </si>
  <si>
    <t>jn_0003</t>
  </si>
  <si>
    <t>jn_0004</t>
  </si>
  <si>
    <t>jn_0005</t>
  </si>
  <si>
    <t>jn_0006</t>
  </si>
  <si>
    <t>jn_0007</t>
  </si>
  <si>
    <t>jn_0008</t>
  </si>
  <si>
    <t>在[]秒内</t>
    <phoneticPr fontId="1" type="noConversion"/>
  </si>
  <si>
    <t>单次伤害</t>
    <phoneticPr fontId="1" type="noConversion"/>
  </si>
  <si>
    <t>持续[]秒时间</t>
    <phoneticPr fontId="1" type="noConversion"/>
  </si>
  <si>
    <t>[]秒内（引导法术）</t>
    <phoneticPr fontId="1" type="noConversion"/>
  </si>
  <si>
    <t>在[]范围中</t>
    <phoneticPr fontId="1" type="noConversion"/>
  </si>
  <si>
    <t>对[]范围内的</t>
    <phoneticPr fontId="1" type="noConversion"/>
  </si>
  <si>
    <t>正前方[]格</t>
    <phoneticPr fontId="1" type="noConversion"/>
  </si>
  <si>
    <t>使[]范围内的</t>
    <phoneticPr fontId="1" type="noConversion"/>
  </si>
  <si>
    <t>无</t>
    <phoneticPr fontId="1" type="noConversion"/>
  </si>
  <si>
    <t>整个场景</t>
    <phoneticPr fontId="1" type="noConversion"/>
  </si>
  <si>
    <t>[]范围内</t>
    <phoneticPr fontId="1" type="noConversion"/>
  </si>
  <si>
    <t>[]个目标</t>
    <phoneticPr fontId="1" type="noConversion"/>
  </si>
  <si>
    <t>所有已有目标</t>
    <phoneticPr fontId="1" type="noConversion"/>
  </si>
  <si>
    <t>降低[]点攻击力</t>
    <phoneticPr fontId="1" type="noConversion"/>
  </si>
  <si>
    <t>无</t>
    <phoneticPr fontId="1" type="noConversion"/>
  </si>
  <si>
    <t>在[]等级时攻击有[]几率附带倒地效果。</t>
    <phoneticPr fontId="1" type="noConversion"/>
  </si>
  <si>
    <t>敌人移动速度降低[]</t>
    <phoneticPr fontId="1" type="noConversion"/>
  </si>
  <si>
    <t>召唤一堵[]点生命值的冰墙阻挡敌人前进。</t>
    <phoneticPr fontId="1" type="noConversion"/>
  </si>
  <si>
    <t>吸收[]点伤害值</t>
    <phoneticPr fontId="1" type="noConversion"/>
  </si>
  <si>
    <t>无特殊效果</t>
    <phoneticPr fontId="1" type="noConversion"/>
  </si>
  <si>
    <t>法力值恢复</t>
    <phoneticPr fontId="1" type="noConversion"/>
  </si>
  <si>
    <t>造成[]点伤害</t>
    <phoneticPr fontId="1" type="noConversion"/>
  </si>
  <si>
    <t>[]点伤害</t>
    <phoneticPr fontId="1" type="noConversion"/>
  </si>
  <si>
    <t>[]点伤害值</t>
    <phoneticPr fontId="1" type="noConversion"/>
  </si>
  <si>
    <t>在一定时间内降低区域内目标攻击力。</t>
    <phoneticPr fontId="1" type="noConversion"/>
  </si>
  <si>
    <t>在一定时间内对区域内目标造成一定伤害</t>
    <phoneticPr fontId="1" type="noConversion"/>
  </si>
  <si>
    <t>对正前方区域内目标造成伤害，有一定几率将目标击倒。</t>
    <phoneticPr fontId="1" type="noConversion"/>
  </si>
  <si>
    <t>降低区域内敌人移动速度</t>
    <phoneticPr fontId="1" type="noConversion"/>
  </si>
  <si>
    <t>在一定时间内阻挡敌人前进</t>
    <phoneticPr fontId="1" type="noConversion"/>
  </si>
  <si>
    <t>吸收一定数量的伤害</t>
    <phoneticPr fontId="1" type="noConversion"/>
  </si>
  <si>
    <t>全屏幕伤害性技能</t>
    <phoneticPr fontId="1" type="noConversion"/>
  </si>
  <si>
    <t>对区域内目标造成伤害，同时部分转换成法力值恢复。</t>
    <phoneticPr fontId="1" type="noConversion"/>
  </si>
  <si>
    <t>较短</t>
    <phoneticPr fontId="1" type="noConversion"/>
  </si>
  <si>
    <t>CD时间适中，但时间略长于技能伤害持续时间</t>
    <phoneticPr fontId="1" type="noConversion"/>
  </si>
  <si>
    <t>非常短</t>
    <phoneticPr fontId="1" type="noConversion"/>
  </si>
  <si>
    <t>较长</t>
    <phoneticPr fontId="1" type="noConversion"/>
  </si>
  <si>
    <t>低消耗</t>
    <phoneticPr fontId="1" type="noConversion"/>
  </si>
  <si>
    <t>中消耗</t>
    <phoneticPr fontId="1" type="noConversion"/>
  </si>
  <si>
    <t>高消耗</t>
    <phoneticPr fontId="1" type="noConversion"/>
  </si>
  <si>
    <t>较少</t>
    <phoneticPr fontId="1" type="noConversion"/>
  </si>
  <si>
    <t>很高</t>
    <phoneticPr fontId="1" type="noConversion"/>
  </si>
  <si>
    <t>按恢复法力值进行调整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</si>
  <si>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</si>
  <si>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</si>
  <si>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</si>
  <si>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技能升级消耗</t>
    <phoneticPr fontId="1" type="noConversion"/>
  </si>
  <si>
    <t>道具ID</t>
    <phoneticPr fontId="1" type="noConversion"/>
  </si>
  <si>
    <t>道具类型ID</t>
    <phoneticPr fontId="1" type="noConversion"/>
  </si>
  <si>
    <t>类型名称</t>
    <phoneticPr fontId="1" type="noConversion"/>
  </si>
  <si>
    <t>描述</t>
    <phoneticPr fontId="1" type="noConversion"/>
  </si>
  <si>
    <t>djlx_001</t>
    <phoneticPr fontId="1" type="noConversion"/>
  </si>
  <si>
    <t>消耗品</t>
    <phoneticPr fontId="1" type="noConversion"/>
  </si>
  <si>
    <t>djlx_002</t>
  </si>
  <si>
    <t>任务物品</t>
    <phoneticPr fontId="1" type="noConversion"/>
  </si>
  <si>
    <t>特殊物品</t>
    <phoneticPr fontId="1" type="noConversion"/>
  </si>
  <si>
    <t>djlx_003</t>
  </si>
  <si>
    <t>名称</t>
    <phoneticPr fontId="1" type="noConversion"/>
  </si>
  <si>
    <t>效果</t>
    <phoneticPr fontId="1" type="noConversion"/>
  </si>
  <si>
    <t>回收价</t>
    <phoneticPr fontId="1" type="noConversion"/>
  </si>
  <si>
    <t>使用等级</t>
    <phoneticPr fontId="1" type="noConversion"/>
  </si>
  <si>
    <t>售价（金币）</t>
    <phoneticPr fontId="1" type="noConversion"/>
  </si>
  <si>
    <t>售价（钻石）</t>
    <phoneticPr fontId="1" type="noConversion"/>
  </si>
  <si>
    <t>最大叠加数量</t>
    <phoneticPr fontId="1" type="noConversion"/>
  </si>
  <si>
    <t>关联道具类型表（ID）</t>
    <phoneticPr fontId="1" type="noConversion"/>
  </si>
  <si>
    <t>是否可拍卖</t>
    <phoneticPr fontId="1" type="noConversion"/>
  </si>
  <si>
    <t>有效时间</t>
    <phoneticPr fontId="1" type="noConversion"/>
  </si>
  <si>
    <t>部位ID</t>
    <phoneticPr fontId="1" type="noConversion"/>
  </si>
  <si>
    <t>bw_01</t>
    <phoneticPr fontId="1" type="noConversion"/>
  </si>
  <si>
    <t>bw_02</t>
  </si>
  <si>
    <t>bw_03</t>
  </si>
  <si>
    <t>bw_04</t>
  </si>
  <si>
    <t>bw_05</t>
  </si>
  <si>
    <t>bw_06</t>
  </si>
  <si>
    <t>头</t>
    <phoneticPr fontId="1" type="noConversion"/>
  </si>
  <si>
    <t>衣服</t>
    <phoneticPr fontId="1" type="noConversion"/>
  </si>
  <si>
    <t>武器</t>
    <phoneticPr fontId="1" type="noConversion"/>
  </si>
  <si>
    <t>鞋子</t>
    <phoneticPr fontId="1" type="noConversion"/>
  </si>
  <si>
    <t>项链</t>
    <phoneticPr fontId="1" type="noConversion"/>
  </si>
  <si>
    <t>护腕</t>
    <phoneticPr fontId="1" type="noConversion"/>
  </si>
  <si>
    <t>装备ID</t>
    <phoneticPr fontId="1" type="noConversion"/>
  </si>
  <si>
    <t>关联装备部位表ID</t>
    <phoneticPr fontId="1" type="noConversion"/>
  </si>
  <si>
    <t>最大等级</t>
    <phoneticPr fontId="1" type="noConversion"/>
  </si>
  <si>
    <t>装备条件</t>
    <phoneticPr fontId="1" type="noConversion"/>
  </si>
  <si>
    <t>装备描述</t>
    <phoneticPr fontId="1" type="noConversion"/>
  </si>
  <si>
    <t>关联职业表ID</t>
    <phoneticPr fontId="1" type="noConversion"/>
  </si>
  <si>
    <t>兑换（荣誉值）</t>
    <phoneticPr fontId="1" type="noConversion"/>
  </si>
  <si>
    <t>兑换（荣誉）</t>
    <phoneticPr fontId="1" type="noConversion"/>
  </si>
  <si>
    <t>掉落几率</t>
    <phoneticPr fontId="1" type="noConversion"/>
  </si>
  <si>
    <t>可否拍卖</t>
    <phoneticPr fontId="1" type="noConversion"/>
  </si>
  <si>
    <t>特殊属性（中毒）</t>
    <phoneticPr fontId="1" type="noConversion"/>
  </si>
  <si>
    <t>特殊属性（昏厥）</t>
    <phoneticPr fontId="1" type="noConversion"/>
  </si>
  <si>
    <t>特殊属性（定身）</t>
    <phoneticPr fontId="1" type="noConversion"/>
  </si>
  <si>
    <t>可否消失</t>
    <phoneticPr fontId="1" type="noConversion"/>
  </si>
  <si>
    <t>拍卖ID</t>
    <phoneticPr fontId="1" type="noConversion"/>
  </si>
  <si>
    <t>关联角色表ID</t>
    <phoneticPr fontId="1" type="noConversion"/>
  </si>
  <si>
    <t>关联道具表ID</t>
    <phoneticPr fontId="1" type="noConversion"/>
  </si>
  <si>
    <t>关联装备表ID</t>
    <phoneticPr fontId="1" type="noConversion"/>
  </si>
  <si>
    <t>数量</t>
    <phoneticPr fontId="1" type="noConversion"/>
  </si>
  <si>
    <t>拍卖者</t>
    <phoneticPr fontId="1" type="noConversion"/>
  </si>
  <si>
    <t>竞标者</t>
    <phoneticPr fontId="1" type="noConversion"/>
  </si>
  <si>
    <t>拍卖时间</t>
    <phoneticPr fontId="1" type="noConversion"/>
  </si>
  <si>
    <t>剩余时间</t>
    <phoneticPr fontId="1" type="noConversion"/>
  </si>
  <si>
    <t>起始价格（金币）</t>
    <phoneticPr fontId="1" type="noConversion"/>
  </si>
  <si>
    <t>竞标价格（钻石）</t>
    <phoneticPr fontId="1" type="noConversion"/>
  </si>
  <si>
    <t>竞标价格（金币）</t>
    <phoneticPr fontId="1" type="noConversion"/>
  </si>
  <si>
    <t>一口价（金币）</t>
    <phoneticPr fontId="1" type="noConversion"/>
  </si>
  <si>
    <t>一口价（钻石）</t>
    <phoneticPr fontId="1" type="noConversion"/>
  </si>
  <si>
    <t>管理费用</t>
    <phoneticPr fontId="1" type="noConversion"/>
  </si>
  <si>
    <t>皮肤ID</t>
    <phoneticPr fontId="1" type="noConversion"/>
  </si>
  <si>
    <t>名称</t>
    <phoneticPr fontId="1" type="noConversion"/>
  </si>
  <si>
    <t>是否已购买</t>
    <phoneticPr fontId="1" type="noConversion"/>
  </si>
  <si>
    <t>是否已装备</t>
    <phoneticPr fontId="1" type="noConversion"/>
  </si>
  <si>
    <t>售价（金币）</t>
    <phoneticPr fontId="1" type="noConversion"/>
  </si>
  <si>
    <t>售价（钻石）</t>
    <phoneticPr fontId="1" type="noConversion"/>
  </si>
  <si>
    <t>刷新表ID</t>
    <phoneticPr fontId="1" type="noConversion"/>
  </si>
  <si>
    <t>关联装备表ID</t>
    <phoneticPr fontId="1" type="noConversion"/>
  </si>
  <si>
    <t>关联建筑物表ID</t>
    <phoneticPr fontId="1" type="noConversion"/>
  </si>
  <si>
    <t>装备等级</t>
    <phoneticPr fontId="1" type="noConversion"/>
  </si>
  <si>
    <t>道具品质</t>
    <phoneticPr fontId="1" type="noConversion"/>
  </si>
  <si>
    <t>道具刷新几率</t>
    <phoneticPr fontId="1" type="noConversion"/>
  </si>
  <si>
    <t>装备刷新几率</t>
    <phoneticPr fontId="1" type="noConversion"/>
  </si>
  <si>
    <t>道具品质</t>
    <phoneticPr fontId="1" type="noConversion"/>
  </si>
  <si>
    <t>市集</t>
    <phoneticPr fontId="6" type="noConversion"/>
  </si>
  <si>
    <t>刷新时间</t>
    <phoneticPr fontId="1" type="noConversion"/>
  </si>
  <si>
    <t>四圣祥云</t>
    <phoneticPr fontId="1" type="noConversion"/>
  </si>
  <si>
    <t>刷新符</t>
  </si>
  <si>
    <t>行动符</t>
  </si>
  <si>
    <t>妖狐令</t>
  </si>
  <si>
    <t>洗点符</t>
    <phoneticPr fontId="1" type="noConversion"/>
  </si>
  <si>
    <t>幸运符 LV1</t>
    <phoneticPr fontId="1" type="noConversion"/>
  </si>
  <si>
    <t>幸运符 LV2</t>
  </si>
  <si>
    <t>幸运符 LV3</t>
  </si>
  <si>
    <t>防爆符 LV1</t>
    <phoneticPr fontId="1" type="noConversion"/>
  </si>
  <si>
    <t>防爆符 LV2</t>
  </si>
  <si>
    <t>防爆符 LV3</t>
  </si>
  <si>
    <t>毒护符 LV1</t>
    <phoneticPr fontId="1" type="noConversion"/>
  </si>
  <si>
    <t>毒护符 LV2</t>
  </si>
  <si>
    <t>毒护符 LV3</t>
  </si>
  <si>
    <t>晕护符 LV1</t>
    <phoneticPr fontId="1" type="noConversion"/>
  </si>
  <si>
    <t>晕护符 LV2</t>
  </si>
  <si>
    <t>晕护符 LV3</t>
  </si>
  <si>
    <t>定护符 LV1</t>
    <phoneticPr fontId="1" type="noConversion"/>
  </si>
  <si>
    <t>定护符 LV2</t>
  </si>
  <si>
    <t>定护符 LV3</t>
  </si>
  <si>
    <t>普通</t>
    <phoneticPr fontId="1" type="noConversion"/>
  </si>
  <si>
    <t>少见</t>
    <phoneticPr fontId="1" type="noConversion"/>
  </si>
  <si>
    <t>罕见</t>
    <phoneticPr fontId="1" type="noConversion"/>
  </si>
  <si>
    <t>魔法之盔 LV1</t>
    <phoneticPr fontId="1" type="noConversion"/>
  </si>
  <si>
    <t>魔法之盔 LV2</t>
  </si>
  <si>
    <t>魔法之盔 LV3</t>
  </si>
  <si>
    <t>魔法之盔 LV4</t>
  </si>
  <si>
    <t>魔法之盔 LV5</t>
  </si>
  <si>
    <t>魔法之盔 LV6</t>
  </si>
  <si>
    <t>魔法之盔 LV7</t>
  </si>
  <si>
    <t>魔法之盔 LV8</t>
  </si>
  <si>
    <t>魔法之盔 LV9</t>
  </si>
  <si>
    <t>魔法护腕 LV1</t>
    <phoneticPr fontId="1" type="noConversion"/>
  </si>
  <si>
    <t>魔法护腕 LV2</t>
  </si>
  <si>
    <t>魔法护腕 LV3</t>
  </si>
  <si>
    <t>魔法护腕 LV4</t>
  </si>
  <si>
    <t>魔法护腕 LV5</t>
  </si>
  <si>
    <t>魔法护腕 LV6</t>
  </si>
  <si>
    <t>魔法护腕 LV7</t>
  </si>
  <si>
    <t>魔法护腕 LV8</t>
  </si>
  <si>
    <t>魔法护腕 LV9</t>
  </si>
  <si>
    <t>魔法之靴 LV1</t>
    <phoneticPr fontId="1" type="noConversion"/>
  </si>
  <si>
    <t>魔法之靴 LV2</t>
  </si>
  <si>
    <t>魔法之靴 LV3</t>
  </si>
  <si>
    <t>魔法之靴 LV4</t>
  </si>
  <si>
    <t>魔法之靴 LV5</t>
  </si>
  <si>
    <t>魔法之靴 LV6</t>
  </si>
  <si>
    <t>魔法之靴 LV7</t>
  </si>
  <si>
    <t>魔法之靴 LV8</t>
  </si>
  <si>
    <t>魔法之靴 LV9</t>
  </si>
  <si>
    <t>魔法长袍 LV1</t>
    <phoneticPr fontId="1" type="noConversion"/>
  </si>
  <si>
    <t>魔法长袍 LV2</t>
  </si>
  <si>
    <t>魔法长袍 LV3</t>
  </si>
  <si>
    <t>魔法长袍 LV4</t>
  </si>
  <si>
    <t>魔法长袍 LV5</t>
  </si>
  <si>
    <t>魔法长袍 LV6</t>
  </si>
  <si>
    <t>魔法长袍 LV7</t>
  </si>
  <si>
    <t>魔法长袍 LV8</t>
  </si>
  <si>
    <t>魔法长袍 LV9</t>
  </si>
  <si>
    <t>魔法项链 LV1</t>
    <phoneticPr fontId="1" type="noConversion"/>
  </si>
  <si>
    <t>魔法项链 LV2</t>
  </si>
  <si>
    <t>魔法项链 LV3</t>
  </si>
  <si>
    <t>魔法项链 LV4</t>
  </si>
  <si>
    <t>魔法项链 LV5</t>
  </si>
  <si>
    <t>魔法项链 LV6</t>
  </si>
  <si>
    <t>魔法项链 LV7</t>
  </si>
  <si>
    <t>魔法项链 LV8</t>
  </si>
  <si>
    <t>魔法项链 LV9</t>
  </si>
  <si>
    <t>风语之帽 LV1</t>
    <phoneticPr fontId="1" type="noConversion"/>
  </si>
  <si>
    <t>风语之帽 LV2</t>
  </si>
  <si>
    <t>风语之帽 LV3</t>
  </si>
  <si>
    <t>风语之帽 LV4</t>
  </si>
  <si>
    <t>风语之帽 LV5</t>
  </si>
  <si>
    <t>风语之帽 LV6</t>
  </si>
  <si>
    <t>风语之帽 LV7</t>
  </si>
  <si>
    <t>风语之帽 LV8</t>
  </si>
  <si>
    <t>风语之帽 LV9</t>
  </si>
  <si>
    <t>风语手链 LV1</t>
    <phoneticPr fontId="1" type="noConversion"/>
  </si>
  <si>
    <t>风语手链 LV2</t>
  </si>
  <si>
    <t>风语手链 LV3</t>
  </si>
  <si>
    <t>风语手链 LV4</t>
  </si>
  <si>
    <t>风语手链 LV5</t>
  </si>
  <si>
    <t>风语手链 LV6</t>
  </si>
  <si>
    <t>风语手链 LV7</t>
  </si>
  <si>
    <t>风语手链 LV8</t>
  </si>
  <si>
    <t>风语手链 LV9</t>
  </si>
  <si>
    <t>风语鞋 LV1</t>
    <phoneticPr fontId="1" type="noConversion"/>
  </si>
  <si>
    <t>风语鞋 LV2</t>
  </si>
  <si>
    <t>风语鞋 LV3</t>
  </si>
  <si>
    <t>风语鞋 LV4</t>
  </si>
  <si>
    <t>风语鞋 LV5</t>
  </si>
  <si>
    <t>风语鞋 LV6</t>
  </si>
  <si>
    <t>风语鞋 LV7</t>
  </si>
  <si>
    <t>风语鞋 LV8</t>
  </si>
  <si>
    <t>风语鞋 LV9</t>
  </si>
  <si>
    <t>风语披风 LV1</t>
    <phoneticPr fontId="1" type="noConversion"/>
  </si>
  <si>
    <t>风语披风 LV2</t>
  </si>
  <si>
    <t>风语披风 LV3</t>
  </si>
  <si>
    <t>风语披风 LV4</t>
  </si>
  <si>
    <t>风语披风 LV5</t>
  </si>
  <si>
    <t>风语披风 LV6</t>
  </si>
  <si>
    <t>风语披风 LV7</t>
  </si>
  <si>
    <t>风语披风 LV8</t>
  </si>
  <si>
    <t>风语披风 LV9</t>
  </si>
  <si>
    <t>风语项链 LV1</t>
    <phoneticPr fontId="1" type="noConversion"/>
  </si>
  <si>
    <t>风语项链 LV2</t>
  </si>
  <si>
    <t>风语项链 LV3</t>
  </si>
  <si>
    <t>风语项链 LV4</t>
  </si>
  <si>
    <t>风语项链 LV5</t>
  </si>
  <si>
    <t>风语项链 LV6</t>
  </si>
  <si>
    <t>风语项链 LV7</t>
  </si>
  <si>
    <t>风语项链 LV8</t>
  </si>
  <si>
    <t>风语项链 LV9</t>
  </si>
  <si>
    <t>迷失护腕 LV1</t>
    <phoneticPr fontId="1" type="noConversion"/>
  </si>
  <si>
    <t>迷失护腕 LV2</t>
  </si>
  <si>
    <t>迷失护腕 LV3</t>
  </si>
  <si>
    <t>迷失护腕 LV4</t>
  </si>
  <si>
    <t>迷失护腕 LV5</t>
  </si>
  <si>
    <t>迷失护腕 LV6</t>
  </si>
  <si>
    <t>迷失护腕 LV7</t>
  </si>
  <si>
    <t>迷失护腕 LV8</t>
  </si>
  <si>
    <t>迷失护腕 LV9</t>
  </si>
  <si>
    <t>迷失之靴 LV1</t>
    <phoneticPr fontId="1" type="noConversion"/>
  </si>
  <si>
    <t>迷失之靴 LV2</t>
  </si>
  <si>
    <t>迷失之靴 LV3</t>
  </si>
  <si>
    <t>迷失之靴 LV4</t>
  </si>
  <si>
    <t>迷失之靴 LV5</t>
  </si>
  <si>
    <t>迷失之靴 LV6</t>
  </si>
  <si>
    <t>迷失之靴 LV7</t>
  </si>
  <si>
    <t>迷失之靴 LV8</t>
  </si>
  <si>
    <t>迷失之靴 LV9</t>
  </si>
  <si>
    <t>迷失之冠 LV1</t>
    <phoneticPr fontId="1" type="noConversion"/>
  </si>
  <si>
    <t>迷失之冠 LV2</t>
  </si>
  <si>
    <t>迷失之冠 LV3</t>
  </si>
  <si>
    <t>迷失之冠 LV4</t>
  </si>
  <si>
    <t>迷失之冠 LV5</t>
  </si>
  <si>
    <t>迷失之冠 LV6</t>
  </si>
  <si>
    <t>迷失之冠 LV7</t>
  </si>
  <si>
    <t>迷失之冠 LV8</t>
  </si>
  <si>
    <t>迷失之冠 LV9</t>
  </si>
  <si>
    <t>迷失项链 LV1</t>
    <phoneticPr fontId="1" type="noConversion"/>
  </si>
  <si>
    <t>迷失项链 LV2</t>
  </si>
  <si>
    <t>迷失项链 LV3</t>
  </si>
  <si>
    <t>迷失项链 LV4</t>
  </si>
  <si>
    <t>迷失项链 LV5</t>
  </si>
  <si>
    <t>迷失项链 LV6</t>
  </si>
  <si>
    <t>迷失项链 LV7</t>
  </si>
  <si>
    <t>迷失项链 LV8</t>
  </si>
  <si>
    <t>迷失项链 LV9</t>
  </si>
  <si>
    <t>四圣冠 LV1</t>
    <phoneticPr fontId="1" type="noConversion"/>
  </si>
  <si>
    <t>四圣冠 LV2</t>
  </si>
  <si>
    <t>四圣冠 LV3</t>
  </si>
  <si>
    <t>四圣冠 LV4</t>
  </si>
  <si>
    <t>四圣冠 LV5</t>
  </si>
  <si>
    <t>四圣冠 LV6</t>
  </si>
  <si>
    <t>四圣冠 LV7</t>
  </si>
  <si>
    <t>四圣冠 LV8</t>
  </si>
  <si>
    <t>四圣冠 LV9</t>
  </si>
  <si>
    <t>朱雀项链 LV1</t>
    <phoneticPr fontId="1" type="noConversion"/>
  </si>
  <si>
    <t>朱雀项链 LV2</t>
  </si>
  <si>
    <t>朱雀项链 LV3</t>
  </si>
  <si>
    <t>朱雀项链 LV4</t>
  </si>
  <si>
    <t>朱雀项链 LV5</t>
  </si>
  <si>
    <t>朱雀项链 LV6</t>
  </si>
  <si>
    <t>朱雀项链 LV7</t>
  </si>
  <si>
    <t>朱雀项链 LV8</t>
  </si>
  <si>
    <t>朱雀项链 LV9</t>
  </si>
  <si>
    <t>白虎长袍 LV1</t>
    <phoneticPr fontId="1" type="noConversion"/>
  </si>
  <si>
    <t>白虎长袍 LV2</t>
  </si>
  <si>
    <t>白虎长袍 LV3</t>
  </si>
  <si>
    <t>白虎长袍 LV4</t>
  </si>
  <si>
    <t>白虎长袍 LV5</t>
  </si>
  <si>
    <t>白虎长袍 LV6</t>
  </si>
  <si>
    <t>白虎长袍 LV7</t>
  </si>
  <si>
    <t>白虎长袍 LV8</t>
  </si>
  <si>
    <t>白虎长袍 LV9</t>
  </si>
  <si>
    <t>玄武手镯 LV1</t>
    <phoneticPr fontId="1" type="noConversion"/>
  </si>
  <si>
    <t>玄武手镯 LV2</t>
  </si>
  <si>
    <t>玄武手镯 LV3</t>
  </si>
  <si>
    <t>玄武手镯 LV4</t>
  </si>
  <si>
    <t>玄武手镯 LV5</t>
  </si>
  <si>
    <t>玄武手镯 LV6</t>
  </si>
  <si>
    <t>玄武手镯 LV7</t>
  </si>
  <si>
    <t>玄武手镯 LV8</t>
  </si>
  <si>
    <t>玄武手镯 LV9</t>
  </si>
  <si>
    <t>四圣祥云 LV1</t>
    <phoneticPr fontId="1" type="noConversion"/>
  </si>
  <si>
    <t>四圣祥云 LV2</t>
  </si>
  <si>
    <t>四圣祥云 LV3</t>
  </si>
  <si>
    <t>四圣祥云 LV4</t>
  </si>
  <si>
    <t>四圣祥云 LV5</t>
  </si>
  <si>
    <t>四圣祥云 LV6</t>
  </si>
  <si>
    <t>四圣祥云 LV7</t>
  </si>
  <si>
    <t>四圣祥云 LV8</t>
  </si>
  <si>
    <t>四圣祥云 LV9</t>
  </si>
  <si>
    <t>迷失之符</t>
    <phoneticPr fontId="1" type="noConversion"/>
  </si>
  <si>
    <t>魔法之符 LV1</t>
    <phoneticPr fontId="1" type="noConversion"/>
  </si>
  <si>
    <t>魔法之符 LV2</t>
  </si>
  <si>
    <t>魔法之符 LV3</t>
  </si>
  <si>
    <t>魔法之符 LV4</t>
  </si>
  <si>
    <t>魔法之符 LV5</t>
  </si>
  <si>
    <t>魔法之符 LV6</t>
  </si>
  <si>
    <t>魔法之符 LV7</t>
  </si>
  <si>
    <t>魔法之符 LV8</t>
  </si>
  <si>
    <t>魔法之符 LV9</t>
  </si>
  <si>
    <t>风语之符 LV1</t>
    <phoneticPr fontId="1" type="noConversion"/>
  </si>
  <si>
    <t>风语之符 LV2</t>
  </si>
  <si>
    <t>风语之符 LV3</t>
  </si>
  <si>
    <t>风语之符 LV4</t>
  </si>
  <si>
    <t>风语之符 LV5</t>
  </si>
  <si>
    <t>风语之符 LV6</t>
  </si>
  <si>
    <t>风语之符 LV7</t>
  </si>
  <si>
    <t>风语之符 LV8</t>
  </si>
  <si>
    <t>风语之符 LV9</t>
  </si>
  <si>
    <t>迷失之符 LV1</t>
    <phoneticPr fontId="1" type="noConversion"/>
  </si>
  <si>
    <t>迷失之符 LV2</t>
  </si>
  <si>
    <t>迷失之符 LV3</t>
  </si>
  <si>
    <t>迷失之符 LV4</t>
  </si>
  <si>
    <t>迷失之符 LV5</t>
  </si>
  <si>
    <t>迷失之符 LV6</t>
  </si>
  <si>
    <t>迷失之符 LV7</t>
  </si>
  <si>
    <t>迷失之符 LV8</t>
  </si>
  <si>
    <t>迷失之符 LV9</t>
  </si>
  <si>
    <t>青龙魔符 LV1</t>
    <phoneticPr fontId="1" type="noConversion"/>
  </si>
  <si>
    <t>青龙魔符 LV2</t>
  </si>
  <si>
    <t>青龙魔符 LV3</t>
  </si>
  <si>
    <t>青龙魔符 LV4</t>
  </si>
  <si>
    <t>青龙魔符 LV5</t>
  </si>
  <si>
    <t>青龙魔符 LV6</t>
  </si>
  <si>
    <t>青龙魔符 LV7</t>
  </si>
  <si>
    <t>青龙魔符 LV8</t>
  </si>
  <si>
    <t>青龙魔符 LV9</t>
  </si>
  <si>
    <t>迷失风衣 LV1</t>
    <phoneticPr fontId="1" type="noConversion"/>
  </si>
  <si>
    <t>迷失风衣 LV2</t>
  </si>
  <si>
    <t>迷失风衣 LV3</t>
  </si>
  <si>
    <t>迷失风衣 LV4</t>
  </si>
  <si>
    <t>迷失风衣 LV5</t>
  </si>
  <si>
    <t>迷失风衣 LV6</t>
  </si>
  <si>
    <t>迷失风衣 LV7</t>
  </si>
  <si>
    <t>迷失风衣 LV8</t>
  </si>
  <si>
    <t>迷失风衣 LV9</t>
  </si>
  <si>
    <t>魔法之符</t>
    <phoneticPr fontId="1" type="noConversion"/>
  </si>
  <si>
    <t>风语之符</t>
    <phoneticPr fontId="1" type="noConversion"/>
  </si>
  <si>
    <t>魔法之盔</t>
    <phoneticPr fontId="1" type="noConversion"/>
  </si>
  <si>
    <t>风语之帽</t>
    <phoneticPr fontId="1" type="noConversion"/>
  </si>
  <si>
    <t>迷失之冠</t>
    <phoneticPr fontId="1" type="noConversion"/>
  </si>
  <si>
    <t>四圣冠</t>
    <phoneticPr fontId="1" type="noConversion"/>
  </si>
  <si>
    <t>魔法护腕</t>
    <phoneticPr fontId="1" type="noConversion"/>
  </si>
  <si>
    <t>魔法之靴</t>
    <phoneticPr fontId="1" type="noConversion"/>
  </si>
  <si>
    <t>魔法长袍</t>
    <phoneticPr fontId="1" type="noConversion"/>
  </si>
  <si>
    <t>魔法项链</t>
    <phoneticPr fontId="1" type="noConversion"/>
  </si>
  <si>
    <t>风语手链</t>
    <phoneticPr fontId="1" type="noConversion"/>
  </si>
  <si>
    <t>风语鞋</t>
    <phoneticPr fontId="1" type="noConversion"/>
  </si>
  <si>
    <t>风语披风</t>
    <phoneticPr fontId="1" type="noConversion"/>
  </si>
  <si>
    <t>风语项链</t>
    <phoneticPr fontId="1" type="noConversion"/>
  </si>
  <si>
    <t>迷失长袍</t>
    <phoneticPr fontId="1" type="noConversion"/>
  </si>
  <si>
    <t>迷失之靴</t>
    <phoneticPr fontId="1" type="noConversion"/>
  </si>
  <si>
    <t>迷失项链</t>
    <phoneticPr fontId="1" type="noConversion"/>
  </si>
  <si>
    <t>青龙魔符</t>
    <phoneticPr fontId="1" type="noConversion"/>
  </si>
  <si>
    <t>朱雀项链</t>
    <phoneticPr fontId="1" type="noConversion"/>
  </si>
  <si>
    <t>白虎长袍</t>
    <phoneticPr fontId="1" type="noConversion"/>
  </si>
  <si>
    <t>玄武手镯</t>
    <phoneticPr fontId="1" type="noConversion"/>
  </si>
  <si>
    <t>迷失护腕</t>
    <phoneticPr fontId="1" type="noConversion"/>
  </si>
  <si>
    <t>附加攻击LV1</t>
    <phoneticPr fontId="1" type="noConversion"/>
  </si>
  <si>
    <t>附加攻击 LV9</t>
    <phoneticPr fontId="1" type="noConversion"/>
  </si>
  <si>
    <t>防御力 LV1</t>
    <phoneticPr fontId="1" type="noConversion"/>
  </si>
  <si>
    <t>防御力 LV9</t>
    <phoneticPr fontId="1" type="noConversion"/>
  </si>
  <si>
    <t>力量 LV9</t>
    <phoneticPr fontId="1" type="noConversion"/>
  </si>
  <si>
    <t>力量 LV1</t>
    <phoneticPr fontId="1" type="noConversion"/>
  </si>
  <si>
    <t>耐力 LV9</t>
    <phoneticPr fontId="1" type="noConversion"/>
  </si>
  <si>
    <t>智力 LV1</t>
    <phoneticPr fontId="1" type="noConversion"/>
  </si>
  <si>
    <t>智力 LV9</t>
    <phoneticPr fontId="1" type="noConversion"/>
  </si>
  <si>
    <t>装备刷新率：当玩家处于某个转职阶段时，与该阶段相邻的转职阶段装备的刷新机率依次乘以10%</t>
    <phoneticPr fontId="1" type="noConversion"/>
  </si>
  <si>
    <t>等级加成</t>
    <phoneticPr fontId="1" type="noConversion"/>
  </si>
  <si>
    <t>魔法系列</t>
    <phoneticPr fontId="1" type="noConversion"/>
  </si>
  <si>
    <t>风语系列</t>
    <phoneticPr fontId="1" type="noConversion"/>
  </si>
  <si>
    <t>迷失系列</t>
    <phoneticPr fontId="1" type="noConversion"/>
  </si>
  <si>
    <t>四圣系列</t>
    <phoneticPr fontId="1" type="noConversion"/>
  </si>
  <si>
    <t xml:space="preserve">力量 </t>
    <phoneticPr fontId="1" type="noConversion"/>
  </si>
  <si>
    <t xml:space="preserve">耐力 </t>
    <phoneticPr fontId="1" type="noConversion"/>
  </si>
  <si>
    <t xml:space="preserve">智力 </t>
    <phoneticPr fontId="1" type="noConversion"/>
  </si>
  <si>
    <t>攻击</t>
    <phoneticPr fontId="1" type="noConversion"/>
  </si>
  <si>
    <t xml:space="preserve">防御 </t>
    <phoneticPr fontId="1" type="noConversion"/>
  </si>
  <si>
    <t>符咒攻击加成</t>
    <phoneticPr fontId="1" type="noConversion"/>
  </si>
  <si>
    <t>符咒智力加成</t>
    <phoneticPr fontId="1" type="noConversion"/>
  </si>
  <si>
    <t>头盔防御加成</t>
    <phoneticPr fontId="1" type="noConversion"/>
  </si>
  <si>
    <t>头盔力量加成</t>
    <phoneticPr fontId="1" type="noConversion"/>
  </si>
  <si>
    <t>头盔智力加成</t>
    <phoneticPr fontId="1" type="noConversion"/>
  </si>
  <si>
    <t>护腕耐力加成</t>
    <phoneticPr fontId="1" type="noConversion"/>
  </si>
  <si>
    <t>护腕智力加成</t>
    <phoneticPr fontId="1" type="noConversion"/>
  </si>
  <si>
    <t>鞋防御力加成</t>
    <phoneticPr fontId="1" type="noConversion"/>
  </si>
  <si>
    <t>鞋耐力加成</t>
    <phoneticPr fontId="1" type="noConversion"/>
  </si>
  <si>
    <t>初始值</t>
    <phoneticPr fontId="1" type="noConversion"/>
  </si>
  <si>
    <t>衣服防御加成</t>
    <phoneticPr fontId="1" type="noConversion"/>
  </si>
  <si>
    <t>衣服耐力加成</t>
    <phoneticPr fontId="1" type="noConversion"/>
  </si>
  <si>
    <t>衣服智力加成</t>
    <phoneticPr fontId="1" type="noConversion"/>
  </si>
  <si>
    <t>项链耐力加成</t>
    <phoneticPr fontId="1" type="noConversion"/>
  </si>
  <si>
    <t>项链智力加成</t>
    <phoneticPr fontId="1" type="noConversion"/>
  </si>
  <si>
    <t xml:space="preserve">数值公式 数值=上一档次一级装备+威力加成×（(等级+3)/3）^2
</t>
    <phoneticPr fontId="1" type="noConversion"/>
  </si>
  <si>
    <t>白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</si>
  <si>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</si>
  <si>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</si>
  <si>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</si>
  <si>
    <t xml:space="preserve">数值公式 数值=白装×120%
</t>
    <phoneticPr fontId="1" type="noConversion"/>
  </si>
  <si>
    <t xml:space="preserve">数值公式 数值=白装×140%
</t>
    <phoneticPr fontId="1" type="noConversion"/>
  </si>
  <si>
    <t xml:space="preserve">数值公式 数值=紫装×160%
</t>
    <phoneticPr fontId="1" type="noConversion"/>
  </si>
  <si>
    <t>所需力量</t>
    <phoneticPr fontId="1" type="noConversion"/>
  </si>
  <si>
    <t>所需智力</t>
    <phoneticPr fontId="1" type="noConversion"/>
  </si>
  <si>
    <t xml:space="preserve"> </t>
    <phoneticPr fontId="1" type="noConversion"/>
  </si>
  <si>
    <t>所需耐力</t>
    <phoneticPr fontId="1" type="noConversion"/>
  </si>
  <si>
    <t>所需智力</t>
    <phoneticPr fontId="1" type="noConversion"/>
  </si>
  <si>
    <t>所需力量</t>
    <phoneticPr fontId="1" type="noConversion"/>
  </si>
  <si>
    <t>点数总和</t>
    <phoneticPr fontId="1" type="noConversion"/>
  </si>
  <si>
    <t>一阶</t>
    <phoneticPr fontId="1" type="noConversion"/>
  </si>
  <si>
    <t>二阶</t>
    <phoneticPr fontId="1" type="noConversion"/>
  </si>
  <si>
    <t>三阶</t>
    <phoneticPr fontId="1" type="noConversion"/>
  </si>
  <si>
    <t>四阶</t>
    <phoneticPr fontId="1" type="noConversion"/>
  </si>
  <si>
    <t>力量</t>
  </si>
  <si>
    <t>耐力</t>
  </si>
  <si>
    <t>智力</t>
  </si>
  <si>
    <t>可分配点数</t>
    <phoneticPr fontId="1" type="noConversion"/>
  </si>
  <si>
    <t>装备基准用红字标出，其余则为固定百分比减少，如耐力最大基准值为150.则其他装备为150乘以某个比例</t>
    <phoneticPr fontId="1" type="noConversion"/>
  </si>
  <si>
    <t>等级</t>
    <phoneticPr fontId="1" type="noConversion"/>
  </si>
  <si>
    <t>此下为统计计算所用，可以忽略不看</t>
    <phoneticPr fontId="1" type="noConversion"/>
  </si>
  <si>
    <r>
      <t xml:space="preserve">耐力加点HP收益：2：3
       防御收益：2：3
力量/智力攻击收益：9：20
力量/智力魔法收益：2：1
耐力收益比4：9
力量攻击收益比：1：20
智力攻击收益比：9:?
装备需要智力/力量比为20：9
留出点数三分之一让玩家随意分配。三分之二通过设计强制玩家分配
分配比 力量：智力：耐力=9：20：15
</t>
    </r>
    <r>
      <rPr>
        <sz val="11"/>
        <color rgb="FFFF0000"/>
        <rFont val="宋体"/>
        <family val="3"/>
        <charset val="134"/>
        <scheme val="minor"/>
      </rPr>
      <t>（建议属性与特性抗性相关联）（金毅建议）</t>
    </r>
    <phoneticPr fontId="1" type="noConversion"/>
  </si>
  <si>
    <t>防御LV（N）</t>
    <phoneticPr fontId="1" type="noConversion"/>
  </si>
  <si>
    <t>耐力 LV1</t>
    <phoneticPr fontId="1" type="noConversion"/>
  </si>
  <si>
    <t>力量 LV(N)</t>
    <phoneticPr fontId="1" type="noConversion"/>
  </si>
  <si>
    <t>附加攻击LV(N)</t>
    <phoneticPr fontId="1" type="noConversion"/>
  </si>
  <si>
    <t>耐力LV(N)</t>
    <phoneticPr fontId="1" type="noConversion"/>
  </si>
  <si>
    <t>智力 LVN</t>
    <phoneticPr fontId="1" type="noConversion"/>
  </si>
  <si>
    <t>实时等级调试</t>
    <phoneticPr fontId="1" type="noConversion"/>
  </si>
  <si>
    <t>实时数值总和</t>
    <phoneticPr fontId="1" type="noConversion"/>
  </si>
  <si>
    <t>魔法系列</t>
    <phoneticPr fontId="1" type="noConversion"/>
  </si>
  <si>
    <t>风语系列</t>
    <phoneticPr fontId="1" type="noConversion"/>
  </si>
  <si>
    <t>迷失系列</t>
    <phoneticPr fontId="1" type="noConversion"/>
  </si>
  <si>
    <t>四圣系列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</si>
</sst>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000000%"/>
    <numFmt numFmtId="177" formatCode="0.0000000%"/>
    <numFmt numFmtId="178" formatCode="0.00_);[Red]\(0.00\)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0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9" fontId="0" fillId="0" borderId="0" xfId="0" applyNumberFormat="1"/>
    <xf numFmtId="10" fontId="0" fillId="0" borderId="0" xfId="0" applyNumberForma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Font="1"/>
    <xf numFmtId="0" fontId="4" fillId="0" borderId="0" xfId="0" applyFont="1"/>
    <xf numFmtId="176" fontId="0" fillId="0" borderId="0" xfId="0" applyNumberFormat="1"/>
    <xf numFmtId="177" fontId="0" fillId="0" borderId="0" xfId="0" applyNumberFormat="1"/>
    <xf numFmtId="0" fontId="4" fillId="2" borderId="0" xfId="0" applyFont="1" applyFill="1" applyAlignment="1">
      <alignment horizontal="left" vertical="top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0" borderId="0" xfId="0" applyAlignment="1">
      <alignment vertical="top" wrapText="1"/>
    </xf>
    <xf numFmtId="0" fontId="4" fillId="8" borderId="0" xfId="0" applyFont="1" applyFill="1"/>
    <xf numFmtId="0" fontId="3" fillId="8" borderId="0" xfId="0" applyFont="1" applyFill="1"/>
    <xf numFmtId="0" fontId="0" fillId="8" borderId="0" xfId="0" applyFill="1"/>
    <xf numFmtId="0" fontId="4" fillId="9" borderId="0" xfId="0" applyFont="1" applyFill="1" applyAlignment="1">
      <alignment horizontal="left" vertical="top"/>
    </xf>
    <xf numFmtId="0" fontId="3" fillId="9" borderId="0" xfId="0" applyFont="1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left" vertical="top" wrapText="1"/>
    </xf>
    <xf numFmtId="0" fontId="5" fillId="10" borderId="0" xfId="0" applyFont="1" applyFill="1" applyAlignment="1">
      <alignment horizontal="center" vertical="center"/>
    </xf>
    <xf numFmtId="0" fontId="0" fillId="0" borderId="0" xfId="0" applyFill="1"/>
    <xf numFmtId="0" fontId="5" fillId="10" borderId="0" xfId="0" applyFont="1" applyFill="1"/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/>
    <xf numFmtId="0" fontId="0" fillId="11" borderId="0" xfId="0" applyFill="1" applyBorder="1"/>
    <xf numFmtId="0" fontId="0" fillId="2" borderId="0" xfId="0" applyFill="1" applyBorder="1"/>
    <xf numFmtId="0" fontId="10" fillId="0" borderId="0" xfId="0" applyFont="1" applyBorder="1"/>
    <xf numFmtId="0" fontId="10" fillId="12" borderId="0" xfId="0" applyFont="1" applyFill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right" vertical="center"/>
    </xf>
    <xf numFmtId="0" fontId="4" fillId="9" borderId="0" xfId="0" applyFont="1" applyFill="1" applyAlignment="1">
      <alignment horizontal="right" vertical="top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3" fillId="9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3" fillId="5" borderId="0" xfId="0" applyFont="1" applyFill="1"/>
    <xf numFmtId="0" fontId="3" fillId="9" borderId="0" xfId="0" applyFont="1" applyFill="1" applyAlignment="1">
      <alignment horizontal="right" vertical="top"/>
    </xf>
    <xf numFmtId="0" fontId="3" fillId="7" borderId="0" xfId="0" applyFont="1" applyFill="1"/>
    <xf numFmtId="0" fontId="0" fillId="14" borderId="0" xfId="0" applyFill="1" applyBorder="1"/>
    <xf numFmtId="0" fontId="0" fillId="14" borderId="0" xfId="0" applyFill="1"/>
    <xf numFmtId="0" fontId="0" fillId="7" borderId="0" xfId="0" applyFill="1" applyBorder="1"/>
    <xf numFmtId="0" fontId="0" fillId="7" borderId="0" xfId="0" applyFill="1"/>
    <xf numFmtId="0" fontId="4" fillId="14" borderId="0" xfId="0" applyFont="1" applyFill="1"/>
    <xf numFmtId="0" fontId="11" fillId="15" borderId="0" xfId="0" applyFont="1" applyFill="1"/>
    <xf numFmtId="0" fontId="0" fillId="14" borderId="0" xfId="0" applyFont="1" applyFill="1"/>
    <xf numFmtId="0" fontId="0" fillId="16" borderId="0" xfId="0" applyFill="1"/>
    <xf numFmtId="0" fontId="4" fillId="16" borderId="0" xfId="0" applyFont="1" applyFill="1"/>
    <xf numFmtId="0" fontId="0" fillId="16" borderId="0" xfId="0" applyFont="1" applyFill="1"/>
    <xf numFmtId="0" fontId="2" fillId="0" borderId="0" xfId="0" applyFont="1"/>
    <xf numFmtId="0" fontId="0" fillId="0" borderId="0" xfId="0" applyFont="1" applyFill="1"/>
    <xf numFmtId="0" fontId="4" fillId="0" borderId="0" xfId="0" applyFont="1" applyFill="1" applyAlignment="1">
      <alignment horizontal="right"/>
    </xf>
    <xf numFmtId="178" fontId="0" fillId="0" borderId="0" xfId="0" applyNumberFormat="1" applyFill="1"/>
    <xf numFmtId="0" fontId="3" fillId="17" borderId="0" xfId="0" applyFont="1" applyFill="1" applyAlignment="1">
      <alignment horizontal="left" vertical="top" wrapText="1"/>
    </xf>
    <xf numFmtId="0" fontId="0" fillId="17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13" borderId="0" xfId="0" applyFill="1" applyAlignment="1">
      <alignment horizontal="center"/>
    </xf>
    <xf numFmtId="0" fontId="0" fillId="13" borderId="0" xfId="0" applyFill="1" applyBorder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2"/>
  <sheetViews>
    <sheetView zoomScaleNormal="100" workbookViewId="0">
      <selection activeCell="P4" sqref="P4"/>
    </sheetView>
  </sheetViews>
  <sheetFormatPr defaultRowHeight="13.5"/>
  <cols>
    <col min="1" max="1" width="7.75" bestFit="1" customWidth="1"/>
    <col min="2" max="2" width="13.125" style="4" bestFit="1" customWidth="1"/>
    <col min="3" max="3" width="17.375" style="4" bestFit="1" customWidth="1"/>
    <col min="5" max="5" width="7.375" style="4" bestFit="1" customWidth="1"/>
    <col min="6" max="6" width="13" bestFit="1" customWidth="1"/>
    <col min="10" max="10" width="11" bestFit="1" customWidth="1"/>
    <col min="12" max="13" width="11" bestFit="1" customWidth="1"/>
    <col min="14" max="15" width="7.25" bestFit="1" customWidth="1"/>
  </cols>
  <sheetData>
    <row r="1" spans="1:18" s="1" customFormat="1">
      <c r="A1" s="1" t="s">
        <v>16</v>
      </c>
      <c r="B1" s="2" t="s">
        <v>15</v>
      </c>
      <c r="C1" s="2" t="s">
        <v>44</v>
      </c>
      <c r="D1" s="1" t="s">
        <v>0</v>
      </c>
      <c r="E1" s="2" t="s">
        <v>17</v>
      </c>
      <c r="F1" s="1" t="s">
        <v>14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9</v>
      </c>
      <c r="M1" s="1" t="s">
        <v>10</v>
      </c>
      <c r="N1" s="1" t="s">
        <v>20</v>
      </c>
      <c r="O1" s="1" t="s">
        <v>11</v>
      </c>
      <c r="P1" s="1" t="s">
        <v>12</v>
      </c>
      <c r="Q1" s="1" t="s">
        <v>19</v>
      </c>
      <c r="R1" s="1" t="s">
        <v>279</v>
      </c>
    </row>
    <row r="2" spans="1:18" s="1" customFormat="1">
      <c r="A2" s="1" t="s">
        <v>55</v>
      </c>
      <c r="B2" s="3" t="s">
        <v>13</v>
      </c>
      <c r="C2" s="3" t="s">
        <v>46</v>
      </c>
      <c r="D2" s="1" t="s">
        <v>7</v>
      </c>
      <c r="E2" s="2" t="s">
        <v>274</v>
      </c>
      <c r="F2" s="1">
        <v>1</v>
      </c>
      <c r="G2" s="1">
        <v>0</v>
      </c>
      <c r="H2" s="1">
        <v>500</v>
      </c>
      <c r="I2" s="1">
        <v>50</v>
      </c>
      <c r="J2" s="1">
        <v>5</v>
      </c>
      <c r="K2" s="1">
        <v>5</v>
      </c>
      <c r="L2" s="1">
        <v>200</v>
      </c>
      <c r="M2" s="1">
        <v>300</v>
      </c>
      <c r="N2" s="1">
        <v>90</v>
      </c>
      <c r="O2" s="1">
        <v>90</v>
      </c>
      <c r="P2" s="1">
        <v>0</v>
      </c>
      <c r="Q2" s="1">
        <v>0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5"/>
  <sheetViews>
    <sheetView workbookViewId="0">
      <selection activeCell="D15" sqref="D15"/>
    </sheetView>
  </sheetViews>
  <sheetFormatPr defaultRowHeight="13.5"/>
  <sheetData>
    <row r="1" spans="1:3" s="1" customFormat="1">
      <c r="A1" s="1" t="s">
        <v>21</v>
      </c>
      <c r="B1" s="1" t="s">
        <v>22</v>
      </c>
      <c r="C1" s="1" t="s">
        <v>23</v>
      </c>
    </row>
    <row r="2" spans="1:3" s="1" customFormat="1">
      <c r="A2" s="1" t="s">
        <v>124</v>
      </c>
      <c r="B2" s="1" t="s">
        <v>125</v>
      </c>
    </row>
    <row r="3" spans="1:3" s="1" customFormat="1">
      <c r="A3" s="1" t="s">
        <v>24</v>
      </c>
      <c r="B3" s="1" t="s">
        <v>8</v>
      </c>
    </row>
    <row r="4" spans="1:3" s="1" customFormat="1">
      <c r="A4" s="1" t="s">
        <v>25</v>
      </c>
      <c r="B4" s="1" t="s">
        <v>26</v>
      </c>
    </row>
    <row r="5" spans="1:3">
      <c r="A5" s="1" t="s">
        <v>50</v>
      </c>
      <c r="B5" s="1" t="s">
        <v>51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W47"/>
  <sheetViews>
    <sheetView topLeftCell="B1" zoomScale="80" zoomScaleNormal="80" workbookViewId="0">
      <selection activeCell="Q2" sqref="Q2"/>
    </sheetView>
  </sheetViews>
  <sheetFormatPr defaultRowHeight="13.5"/>
  <cols>
    <col min="1" max="1" width="9" style="6"/>
    <col min="2" max="2" width="9" style="3"/>
    <col min="3" max="3" width="9.25" style="6" bestFit="1" customWidth="1"/>
    <col min="4" max="4" width="10.5" style="6" bestFit="1" customWidth="1"/>
    <col min="5" max="5" width="7" style="6" bestFit="1" customWidth="1"/>
    <col min="6" max="6" width="6.75" style="6" customWidth="1"/>
    <col min="7" max="11" width="9.25" style="6" bestFit="1" customWidth="1"/>
    <col min="12" max="12" width="9" style="6"/>
    <col min="13" max="16" width="9.25" style="6" bestFit="1" customWidth="1"/>
    <col min="17" max="18" width="9" style="6"/>
    <col min="19" max="19" width="10.125" style="6" customWidth="1"/>
    <col min="20" max="16384" width="9" style="6"/>
  </cols>
  <sheetData>
    <row r="1" spans="1:23" s="5" customFormat="1">
      <c r="A1" s="5" t="s">
        <v>43</v>
      </c>
      <c r="B1" s="3" t="s">
        <v>27</v>
      </c>
      <c r="C1" s="5" t="s">
        <v>1</v>
      </c>
      <c r="D1" s="5" t="s">
        <v>28</v>
      </c>
      <c r="E1" s="6" t="s">
        <v>41</v>
      </c>
      <c r="F1" s="5" t="s">
        <v>42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5" t="s">
        <v>35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111</v>
      </c>
      <c r="S1" s="5" t="s">
        <v>114</v>
      </c>
      <c r="T1" s="5" t="s">
        <v>275</v>
      </c>
      <c r="U1" s="5" t="s">
        <v>277</v>
      </c>
      <c r="V1" s="5" t="s">
        <v>276</v>
      </c>
      <c r="W1" s="5" t="s">
        <v>278</v>
      </c>
    </row>
    <row r="2" spans="1:23" ht="18.75" customHeight="1">
      <c r="A2" s="6" t="s">
        <v>58</v>
      </c>
      <c r="B2" s="3" t="s">
        <v>34</v>
      </c>
      <c r="C2" s="6">
        <v>1</v>
      </c>
      <c r="D2" s="6">
        <v>0</v>
      </c>
      <c r="E2" s="6">
        <f>G2*M2</f>
        <v>300</v>
      </c>
      <c r="F2" s="6">
        <f>I2*N2</f>
        <v>450</v>
      </c>
      <c r="G2" s="6">
        <v>5</v>
      </c>
      <c r="H2" s="6">
        <v>20</v>
      </c>
      <c r="I2" s="6">
        <v>15</v>
      </c>
      <c r="J2" s="6">
        <f>$P$2*I2</f>
        <v>135</v>
      </c>
      <c r="K2" s="6">
        <f>H2*$O$2</f>
        <v>120</v>
      </c>
      <c r="M2" s="6">
        <v>60</v>
      </c>
      <c r="N2" s="6">
        <v>30</v>
      </c>
      <c r="O2" s="6">
        <v>6</v>
      </c>
      <c r="P2" s="6">
        <v>9</v>
      </c>
      <c r="R2" s="6" t="s">
        <v>112</v>
      </c>
      <c r="S2" s="6" t="s">
        <v>115</v>
      </c>
    </row>
    <row r="3" spans="1:23">
      <c r="A3" s="6" t="s">
        <v>59</v>
      </c>
      <c r="B3" s="3" t="s">
        <v>34</v>
      </c>
      <c r="C3" s="6">
        <v>2</v>
      </c>
      <c r="D3" s="6">
        <v>88</v>
      </c>
      <c r="E3" s="6">
        <f t="shared" ref="E3:E46" si="0">G3*M3</f>
        <v>420</v>
      </c>
      <c r="F3" s="6">
        <f t="shared" ref="F3:F46" si="1">I3*N3</f>
        <v>540</v>
      </c>
      <c r="G3" s="6">
        <f t="shared" ref="G3:G47" si="2">$G$2+C3</f>
        <v>7</v>
      </c>
      <c r="H3" s="6">
        <f t="shared" ref="H3:H46" si="3">$H$2+C2</f>
        <v>21</v>
      </c>
      <c r="I3" s="6">
        <f t="shared" ref="I3:I46" si="4">$I$2+C2+2</f>
        <v>18</v>
      </c>
      <c r="J3" s="6">
        <f t="shared" ref="J3:J46" si="5">$P$2*I3</f>
        <v>162</v>
      </c>
      <c r="K3" s="6">
        <f t="shared" ref="K3:K46" si="6">H3*$O$2</f>
        <v>126</v>
      </c>
      <c r="M3" s="6">
        <v>60</v>
      </c>
      <c r="N3" s="6">
        <v>30</v>
      </c>
      <c r="O3" s="6">
        <v>6</v>
      </c>
      <c r="P3" s="6">
        <v>9</v>
      </c>
      <c r="R3" s="6" t="s">
        <v>112</v>
      </c>
      <c r="S3" s="6" t="s">
        <v>115</v>
      </c>
    </row>
    <row r="4" spans="1:23">
      <c r="A4" s="6" t="s">
        <v>60</v>
      </c>
      <c r="B4" s="3" t="s">
        <v>34</v>
      </c>
      <c r="C4" s="6">
        <v>3</v>
      </c>
      <c r="D4" s="6">
        <v>297</v>
      </c>
      <c r="E4" s="6">
        <f t="shared" si="0"/>
        <v>480</v>
      </c>
      <c r="F4" s="6">
        <f t="shared" si="1"/>
        <v>570</v>
      </c>
      <c r="G4" s="6">
        <f t="shared" si="2"/>
        <v>8</v>
      </c>
      <c r="H4" s="6">
        <f t="shared" si="3"/>
        <v>22</v>
      </c>
      <c r="I4" s="6">
        <f t="shared" si="4"/>
        <v>19</v>
      </c>
      <c r="J4" s="6">
        <f t="shared" si="5"/>
        <v>171</v>
      </c>
      <c r="K4" s="6">
        <f t="shared" si="6"/>
        <v>132</v>
      </c>
      <c r="M4" s="6">
        <v>60</v>
      </c>
      <c r="N4" s="6">
        <v>30</v>
      </c>
      <c r="O4" s="6">
        <v>6</v>
      </c>
      <c r="P4" s="6">
        <v>9</v>
      </c>
      <c r="R4" s="6" t="s">
        <v>112</v>
      </c>
      <c r="S4" s="6" t="s">
        <v>115</v>
      </c>
    </row>
    <row r="5" spans="1:23">
      <c r="A5" s="6" t="s">
        <v>61</v>
      </c>
      <c r="B5" s="3" t="s">
        <v>34</v>
      </c>
      <c r="C5" s="6">
        <v>4</v>
      </c>
      <c r="D5" s="6">
        <v>704</v>
      </c>
      <c r="E5" s="6">
        <f t="shared" si="0"/>
        <v>540</v>
      </c>
      <c r="F5" s="6">
        <f t="shared" si="1"/>
        <v>600</v>
      </c>
      <c r="G5" s="6">
        <f t="shared" si="2"/>
        <v>9</v>
      </c>
      <c r="H5" s="6">
        <f t="shared" si="3"/>
        <v>23</v>
      </c>
      <c r="I5" s="6">
        <f t="shared" si="4"/>
        <v>20</v>
      </c>
      <c r="J5" s="6">
        <f t="shared" si="5"/>
        <v>180</v>
      </c>
      <c r="K5" s="6">
        <f t="shared" si="6"/>
        <v>138</v>
      </c>
      <c r="M5" s="6">
        <v>60</v>
      </c>
      <c r="N5" s="6">
        <v>30</v>
      </c>
      <c r="O5" s="6">
        <v>6</v>
      </c>
      <c r="P5" s="6">
        <v>9</v>
      </c>
      <c r="R5" s="6" t="s">
        <v>112</v>
      </c>
      <c r="S5" s="6" t="s">
        <v>115</v>
      </c>
    </row>
    <row r="6" spans="1:23">
      <c r="A6" s="6" t="s">
        <v>62</v>
      </c>
      <c r="B6" s="3" t="s">
        <v>34</v>
      </c>
      <c r="C6" s="6">
        <v>5</v>
      </c>
      <c r="D6" s="6">
        <v>1375</v>
      </c>
      <c r="E6" s="6">
        <f t="shared" si="0"/>
        <v>600</v>
      </c>
      <c r="F6" s="6">
        <f t="shared" si="1"/>
        <v>630</v>
      </c>
      <c r="G6" s="6">
        <f t="shared" si="2"/>
        <v>10</v>
      </c>
      <c r="H6" s="6">
        <f t="shared" si="3"/>
        <v>24</v>
      </c>
      <c r="I6" s="6">
        <f t="shared" si="4"/>
        <v>21</v>
      </c>
      <c r="J6" s="6">
        <f t="shared" si="5"/>
        <v>189</v>
      </c>
      <c r="K6" s="6">
        <f t="shared" si="6"/>
        <v>144</v>
      </c>
      <c r="M6" s="6">
        <v>60</v>
      </c>
      <c r="N6" s="6">
        <v>30</v>
      </c>
      <c r="O6" s="6">
        <v>6</v>
      </c>
      <c r="P6" s="6">
        <v>9</v>
      </c>
      <c r="R6" s="6" t="s">
        <v>112</v>
      </c>
      <c r="S6" s="6" t="s">
        <v>115</v>
      </c>
    </row>
    <row r="7" spans="1:23">
      <c r="A7" s="6" t="s">
        <v>63</v>
      </c>
      <c r="B7" s="3" t="s">
        <v>34</v>
      </c>
      <c r="C7" s="6">
        <v>6</v>
      </c>
      <c r="D7" s="6">
        <v>2376</v>
      </c>
      <c r="E7" s="6">
        <f t="shared" si="0"/>
        <v>660</v>
      </c>
      <c r="F7" s="6">
        <f t="shared" si="1"/>
        <v>660</v>
      </c>
      <c r="G7" s="6">
        <f t="shared" si="2"/>
        <v>11</v>
      </c>
      <c r="H7" s="6">
        <f t="shared" si="3"/>
        <v>25</v>
      </c>
      <c r="I7" s="6">
        <f t="shared" si="4"/>
        <v>22</v>
      </c>
      <c r="J7" s="6">
        <f t="shared" si="5"/>
        <v>198</v>
      </c>
      <c r="K7" s="6">
        <f t="shared" si="6"/>
        <v>150</v>
      </c>
      <c r="M7" s="6">
        <v>60</v>
      </c>
      <c r="N7" s="6">
        <v>30</v>
      </c>
      <c r="O7" s="6">
        <v>6</v>
      </c>
      <c r="P7" s="6">
        <v>9</v>
      </c>
      <c r="R7" s="6" t="s">
        <v>112</v>
      </c>
      <c r="S7" s="6" t="s">
        <v>115</v>
      </c>
    </row>
    <row r="8" spans="1:23">
      <c r="A8" s="6" t="s">
        <v>64</v>
      </c>
      <c r="B8" s="3" t="s">
        <v>34</v>
      </c>
      <c r="C8" s="6">
        <v>7</v>
      </c>
      <c r="D8" s="6">
        <v>3773</v>
      </c>
      <c r="E8" s="6">
        <f t="shared" si="0"/>
        <v>720</v>
      </c>
      <c r="F8" s="6">
        <f t="shared" si="1"/>
        <v>690</v>
      </c>
      <c r="G8" s="6">
        <f t="shared" si="2"/>
        <v>12</v>
      </c>
      <c r="H8" s="6">
        <f t="shared" si="3"/>
        <v>26</v>
      </c>
      <c r="I8" s="6">
        <f t="shared" si="4"/>
        <v>23</v>
      </c>
      <c r="J8" s="6">
        <f t="shared" si="5"/>
        <v>207</v>
      </c>
      <c r="K8" s="6">
        <f t="shared" si="6"/>
        <v>156</v>
      </c>
      <c r="M8" s="6">
        <v>60</v>
      </c>
      <c r="N8" s="6">
        <v>30</v>
      </c>
      <c r="O8" s="6">
        <v>6</v>
      </c>
      <c r="P8" s="6">
        <v>9</v>
      </c>
      <c r="R8" s="6" t="s">
        <v>112</v>
      </c>
      <c r="S8" s="6" t="s">
        <v>115</v>
      </c>
    </row>
    <row r="9" spans="1:23">
      <c r="A9" s="6" t="s">
        <v>65</v>
      </c>
      <c r="B9" s="3" t="s">
        <v>34</v>
      </c>
      <c r="C9" s="6">
        <v>8</v>
      </c>
      <c r="D9" s="6">
        <v>5632</v>
      </c>
      <c r="E9" s="6">
        <f t="shared" si="0"/>
        <v>780</v>
      </c>
      <c r="F9" s="6">
        <f t="shared" si="1"/>
        <v>720</v>
      </c>
      <c r="G9" s="6">
        <f t="shared" si="2"/>
        <v>13</v>
      </c>
      <c r="H9" s="6">
        <f t="shared" si="3"/>
        <v>27</v>
      </c>
      <c r="I9" s="6">
        <f t="shared" si="4"/>
        <v>24</v>
      </c>
      <c r="J9" s="6">
        <f t="shared" si="5"/>
        <v>216</v>
      </c>
      <c r="K9" s="6">
        <f t="shared" si="6"/>
        <v>162</v>
      </c>
      <c r="M9" s="6">
        <v>60</v>
      </c>
      <c r="N9" s="6">
        <v>30</v>
      </c>
      <c r="O9" s="6">
        <v>6</v>
      </c>
      <c r="P9" s="6">
        <v>9</v>
      </c>
      <c r="R9" s="6" t="s">
        <v>112</v>
      </c>
      <c r="S9" s="6" t="s">
        <v>115</v>
      </c>
    </row>
    <row r="10" spans="1:23">
      <c r="A10" s="6" t="s">
        <v>66</v>
      </c>
      <c r="B10" s="3" t="s">
        <v>34</v>
      </c>
      <c r="C10" s="6">
        <v>9</v>
      </c>
      <c r="D10" s="6">
        <v>8019</v>
      </c>
      <c r="E10" s="6">
        <f t="shared" si="0"/>
        <v>840</v>
      </c>
      <c r="F10" s="6">
        <f t="shared" si="1"/>
        <v>750</v>
      </c>
      <c r="G10" s="6">
        <f t="shared" si="2"/>
        <v>14</v>
      </c>
      <c r="H10" s="6">
        <f t="shared" si="3"/>
        <v>28</v>
      </c>
      <c r="I10" s="6">
        <f t="shared" si="4"/>
        <v>25</v>
      </c>
      <c r="J10" s="6">
        <f t="shared" si="5"/>
        <v>225</v>
      </c>
      <c r="K10" s="6">
        <f t="shared" si="6"/>
        <v>168</v>
      </c>
      <c r="M10" s="6">
        <v>60</v>
      </c>
      <c r="N10" s="6">
        <v>30</v>
      </c>
      <c r="O10" s="6">
        <v>6</v>
      </c>
      <c r="P10" s="6">
        <v>9</v>
      </c>
      <c r="R10" s="6" t="s">
        <v>112</v>
      </c>
      <c r="S10" s="6" t="s">
        <v>115</v>
      </c>
    </row>
    <row r="11" spans="1:23">
      <c r="A11" s="6" t="s">
        <v>67</v>
      </c>
      <c r="B11" s="3" t="s">
        <v>34</v>
      </c>
      <c r="C11" s="6">
        <v>10</v>
      </c>
      <c r="D11" s="6">
        <v>11000</v>
      </c>
      <c r="E11" s="6">
        <f t="shared" si="0"/>
        <v>900</v>
      </c>
      <c r="F11" s="6">
        <f t="shared" si="1"/>
        <v>780</v>
      </c>
      <c r="G11" s="6">
        <f t="shared" si="2"/>
        <v>15</v>
      </c>
      <c r="H11" s="6">
        <f t="shared" si="3"/>
        <v>29</v>
      </c>
      <c r="I11" s="6">
        <f t="shared" si="4"/>
        <v>26</v>
      </c>
      <c r="J11" s="6">
        <f t="shared" si="5"/>
        <v>234</v>
      </c>
      <c r="K11" s="6">
        <f t="shared" si="6"/>
        <v>174</v>
      </c>
      <c r="M11" s="6">
        <v>60</v>
      </c>
      <c r="N11" s="6">
        <v>30</v>
      </c>
      <c r="O11" s="6">
        <v>6</v>
      </c>
      <c r="P11" s="6">
        <v>9</v>
      </c>
      <c r="R11" s="6" t="s">
        <v>112</v>
      </c>
      <c r="S11" s="6" t="s">
        <v>115</v>
      </c>
    </row>
    <row r="12" spans="1:23">
      <c r="A12" s="6" t="s">
        <v>68</v>
      </c>
      <c r="B12" s="3" t="s">
        <v>34</v>
      </c>
      <c r="C12" s="6">
        <v>11</v>
      </c>
      <c r="D12" s="6">
        <v>14641</v>
      </c>
      <c r="E12" s="6">
        <f t="shared" si="0"/>
        <v>960</v>
      </c>
      <c r="F12" s="6">
        <f t="shared" si="1"/>
        <v>810</v>
      </c>
      <c r="G12" s="6">
        <f t="shared" si="2"/>
        <v>16</v>
      </c>
      <c r="H12" s="6">
        <f t="shared" si="3"/>
        <v>30</v>
      </c>
      <c r="I12" s="6">
        <f t="shared" si="4"/>
        <v>27</v>
      </c>
      <c r="J12" s="6">
        <f t="shared" si="5"/>
        <v>243</v>
      </c>
      <c r="K12" s="6">
        <f t="shared" si="6"/>
        <v>180</v>
      </c>
      <c r="M12" s="6">
        <v>60</v>
      </c>
      <c r="N12" s="6">
        <v>30</v>
      </c>
      <c r="O12" s="6">
        <v>6</v>
      </c>
      <c r="P12" s="6">
        <v>9</v>
      </c>
      <c r="R12" s="6" t="s">
        <v>112</v>
      </c>
      <c r="S12" s="6" t="s">
        <v>115</v>
      </c>
    </row>
    <row r="13" spans="1:23">
      <c r="A13" s="6" t="s">
        <v>69</v>
      </c>
      <c r="B13" s="3" t="s">
        <v>34</v>
      </c>
      <c r="C13" s="6">
        <v>12</v>
      </c>
      <c r="D13" s="6">
        <v>19008</v>
      </c>
      <c r="E13" s="6">
        <f t="shared" si="0"/>
        <v>1020</v>
      </c>
      <c r="F13" s="6">
        <f t="shared" si="1"/>
        <v>840</v>
      </c>
      <c r="G13" s="6">
        <f t="shared" si="2"/>
        <v>17</v>
      </c>
      <c r="H13" s="6">
        <f t="shared" si="3"/>
        <v>31</v>
      </c>
      <c r="I13" s="6">
        <f t="shared" si="4"/>
        <v>28</v>
      </c>
      <c r="J13" s="6">
        <f t="shared" si="5"/>
        <v>252</v>
      </c>
      <c r="K13" s="6">
        <f t="shared" si="6"/>
        <v>186</v>
      </c>
      <c r="M13" s="6">
        <v>60</v>
      </c>
      <c r="N13" s="6">
        <v>30</v>
      </c>
      <c r="O13" s="6">
        <v>6</v>
      </c>
      <c r="P13" s="6">
        <v>9</v>
      </c>
      <c r="R13" s="6" t="s">
        <v>112</v>
      </c>
      <c r="S13" s="6" t="s">
        <v>115</v>
      </c>
    </row>
    <row r="14" spans="1:23">
      <c r="A14" s="6" t="s">
        <v>70</v>
      </c>
      <c r="B14" s="3" t="s">
        <v>34</v>
      </c>
      <c r="C14" s="6">
        <v>13</v>
      </c>
      <c r="D14" s="6">
        <v>24167</v>
      </c>
      <c r="E14" s="6">
        <f t="shared" si="0"/>
        <v>1080</v>
      </c>
      <c r="F14" s="6">
        <f t="shared" si="1"/>
        <v>870</v>
      </c>
      <c r="G14" s="6">
        <f t="shared" si="2"/>
        <v>18</v>
      </c>
      <c r="H14" s="6">
        <f t="shared" si="3"/>
        <v>32</v>
      </c>
      <c r="I14" s="6">
        <f t="shared" si="4"/>
        <v>29</v>
      </c>
      <c r="J14" s="6">
        <f t="shared" si="5"/>
        <v>261</v>
      </c>
      <c r="K14" s="6">
        <f t="shared" si="6"/>
        <v>192</v>
      </c>
      <c r="M14" s="6">
        <v>60</v>
      </c>
      <c r="N14" s="6">
        <v>30</v>
      </c>
      <c r="O14" s="6">
        <v>6</v>
      </c>
      <c r="P14" s="6">
        <v>9</v>
      </c>
      <c r="R14" s="6" t="s">
        <v>112</v>
      </c>
      <c r="S14" s="6" t="s">
        <v>115</v>
      </c>
    </row>
    <row r="15" spans="1:23">
      <c r="A15" s="6" t="s">
        <v>71</v>
      </c>
      <c r="B15" s="3" t="s">
        <v>34</v>
      </c>
      <c r="C15" s="6">
        <v>14</v>
      </c>
      <c r="D15" s="6">
        <v>30184</v>
      </c>
      <c r="E15" s="6">
        <f t="shared" si="0"/>
        <v>1140</v>
      </c>
      <c r="F15" s="6">
        <f t="shared" si="1"/>
        <v>900</v>
      </c>
      <c r="G15" s="6">
        <f t="shared" si="2"/>
        <v>19</v>
      </c>
      <c r="H15" s="6">
        <f t="shared" si="3"/>
        <v>33</v>
      </c>
      <c r="I15" s="6">
        <f t="shared" si="4"/>
        <v>30</v>
      </c>
      <c r="J15" s="6">
        <f t="shared" si="5"/>
        <v>270</v>
      </c>
      <c r="K15" s="6">
        <f t="shared" si="6"/>
        <v>198</v>
      </c>
      <c r="M15" s="6">
        <v>60</v>
      </c>
      <c r="N15" s="6">
        <v>30</v>
      </c>
      <c r="O15" s="6">
        <v>6</v>
      </c>
      <c r="P15" s="6">
        <v>9</v>
      </c>
      <c r="R15" s="6" t="s">
        <v>112</v>
      </c>
      <c r="S15" s="6" t="s">
        <v>115</v>
      </c>
    </row>
    <row r="16" spans="1:23">
      <c r="A16" s="6" t="s">
        <v>72</v>
      </c>
      <c r="B16" s="3" t="s">
        <v>34</v>
      </c>
      <c r="C16" s="6">
        <v>15</v>
      </c>
      <c r="D16" s="6">
        <v>37125</v>
      </c>
      <c r="E16" s="6">
        <f t="shared" si="0"/>
        <v>1600</v>
      </c>
      <c r="F16" s="6">
        <f t="shared" si="1"/>
        <v>1550</v>
      </c>
      <c r="G16" s="6">
        <f t="shared" si="2"/>
        <v>20</v>
      </c>
      <c r="H16" s="6">
        <f t="shared" si="3"/>
        <v>34</v>
      </c>
      <c r="I16" s="6">
        <f t="shared" si="4"/>
        <v>31</v>
      </c>
      <c r="J16" s="6">
        <f t="shared" si="5"/>
        <v>279</v>
      </c>
      <c r="K16" s="6">
        <f t="shared" si="6"/>
        <v>204</v>
      </c>
      <c r="M16" s="6">
        <v>80</v>
      </c>
      <c r="N16" s="6">
        <v>50</v>
      </c>
      <c r="O16" s="6">
        <v>8</v>
      </c>
      <c r="P16" s="6">
        <v>12</v>
      </c>
      <c r="R16" s="6" t="s">
        <v>112</v>
      </c>
      <c r="S16" s="6" t="s">
        <v>115</v>
      </c>
    </row>
    <row r="17" spans="1:19">
      <c r="A17" s="6" t="s">
        <v>73</v>
      </c>
      <c r="B17" s="3" t="s">
        <v>34</v>
      </c>
      <c r="C17" s="6">
        <v>16</v>
      </c>
      <c r="D17" s="6">
        <v>45056</v>
      </c>
      <c r="E17" s="6">
        <f t="shared" si="0"/>
        <v>1680</v>
      </c>
      <c r="F17" s="6">
        <f t="shared" si="1"/>
        <v>1600</v>
      </c>
      <c r="G17" s="6">
        <f t="shared" si="2"/>
        <v>21</v>
      </c>
      <c r="H17" s="6">
        <f t="shared" si="3"/>
        <v>35</v>
      </c>
      <c r="I17" s="6">
        <f t="shared" si="4"/>
        <v>32</v>
      </c>
      <c r="J17" s="6">
        <f t="shared" si="5"/>
        <v>288</v>
      </c>
      <c r="K17" s="6">
        <f t="shared" si="6"/>
        <v>210</v>
      </c>
      <c r="M17" s="6">
        <v>80</v>
      </c>
      <c r="N17" s="6">
        <v>50</v>
      </c>
      <c r="O17" s="6">
        <v>8</v>
      </c>
      <c r="P17" s="6">
        <v>12</v>
      </c>
      <c r="R17" s="6" t="s">
        <v>112</v>
      </c>
      <c r="S17" s="6" t="s">
        <v>115</v>
      </c>
    </row>
    <row r="18" spans="1:19">
      <c r="A18" s="6" t="s">
        <v>74</v>
      </c>
      <c r="B18" s="3" t="s">
        <v>34</v>
      </c>
      <c r="C18" s="6">
        <v>17</v>
      </c>
      <c r="D18" s="6">
        <v>54043</v>
      </c>
      <c r="E18" s="6">
        <f t="shared" si="0"/>
        <v>1760</v>
      </c>
      <c r="F18" s="6">
        <f t="shared" si="1"/>
        <v>1650</v>
      </c>
      <c r="G18" s="6">
        <f t="shared" si="2"/>
        <v>22</v>
      </c>
      <c r="H18" s="6">
        <f t="shared" si="3"/>
        <v>36</v>
      </c>
      <c r="I18" s="6">
        <f t="shared" si="4"/>
        <v>33</v>
      </c>
      <c r="J18" s="6">
        <f t="shared" si="5"/>
        <v>297</v>
      </c>
      <c r="K18" s="6">
        <f t="shared" si="6"/>
        <v>216</v>
      </c>
      <c r="M18" s="6">
        <v>80</v>
      </c>
      <c r="N18" s="6">
        <v>50</v>
      </c>
      <c r="O18" s="6">
        <v>8</v>
      </c>
      <c r="P18" s="6">
        <v>12</v>
      </c>
      <c r="R18" s="6" t="s">
        <v>112</v>
      </c>
      <c r="S18" s="6" t="s">
        <v>115</v>
      </c>
    </row>
    <row r="19" spans="1:19">
      <c r="A19" s="6" t="s">
        <v>75</v>
      </c>
      <c r="B19" s="3" t="s">
        <v>34</v>
      </c>
      <c r="C19" s="6">
        <v>18</v>
      </c>
      <c r="D19" s="6">
        <v>64152</v>
      </c>
      <c r="E19" s="6">
        <f t="shared" si="0"/>
        <v>1840</v>
      </c>
      <c r="F19" s="6">
        <f t="shared" si="1"/>
        <v>1700</v>
      </c>
      <c r="G19" s="6">
        <f t="shared" si="2"/>
        <v>23</v>
      </c>
      <c r="H19" s="6">
        <f t="shared" si="3"/>
        <v>37</v>
      </c>
      <c r="I19" s="6">
        <f t="shared" si="4"/>
        <v>34</v>
      </c>
      <c r="J19" s="6">
        <f t="shared" si="5"/>
        <v>306</v>
      </c>
      <c r="K19" s="6">
        <f t="shared" si="6"/>
        <v>222</v>
      </c>
      <c r="M19" s="6">
        <v>80</v>
      </c>
      <c r="N19" s="6">
        <v>50</v>
      </c>
      <c r="O19" s="6">
        <v>8</v>
      </c>
      <c r="P19" s="6">
        <v>12</v>
      </c>
      <c r="R19" s="6" t="s">
        <v>112</v>
      </c>
      <c r="S19" s="6" t="s">
        <v>115</v>
      </c>
    </row>
    <row r="20" spans="1:19">
      <c r="A20" s="6" t="s">
        <v>76</v>
      </c>
      <c r="B20" s="3" t="s">
        <v>34</v>
      </c>
      <c r="C20" s="6">
        <v>19</v>
      </c>
      <c r="D20" s="6">
        <v>75449</v>
      </c>
      <c r="E20" s="6">
        <f t="shared" si="0"/>
        <v>1920</v>
      </c>
      <c r="F20" s="6">
        <f t="shared" si="1"/>
        <v>1750</v>
      </c>
      <c r="G20" s="6">
        <f t="shared" si="2"/>
        <v>24</v>
      </c>
      <c r="H20" s="6">
        <f t="shared" si="3"/>
        <v>38</v>
      </c>
      <c r="I20" s="6">
        <f t="shared" si="4"/>
        <v>35</v>
      </c>
      <c r="J20" s="6">
        <f t="shared" si="5"/>
        <v>315</v>
      </c>
      <c r="K20" s="6">
        <f t="shared" si="6"/>
        <v>228</v>
      </c>
      <c r="M20" s="6">
        <v>80</v>
      </c>
      <c r="N20" s="6">
        <v>50</v>
      </c>
      <c r="O20" s="6">
        <v>8</v>
      </c>
      <c r="P20" s="6">
        <v>12</v>
      </c>
      <c r="R20" s="6" t="s">
        <v>112</v>
      </c>
      <c r="S20" s="6" t="s">
        <v>115</v>
      </c>
    </row>
    <row r="21" spans="1:19">
      <c r="A21" s="6" t="s">
        <v>77</v>
      </c>
      <c r="B21" s="3" t="s">
        <v>34</v>
      </c>
      <c r="C21" s="6">
        <v>20</v>
      </c>
      <c r="D21" s="6">
        <v>88000</v>
      </c>
      <c r="E21" s="6">
        <f t="shared" si="0"/>
        <v>2000</v>
      </c>
      <c r="F21" s="6">
        <f t="shared" si="1"/>
        <v>1800</v>
      </c>
      <c r="G21" s="6">
        <f t="shared" si="2"/>
        <v>25</v>
      </c>
      <c r="H21" s="6">
        <f t="shared" si="3"/>
        <v>39</v>
      </c>
      <c r="I21" s="6">
        <f t="shared" si="4"/>
        <v>36</v>
      </c>
      <c r="J21" s="6">
        <f t="shared" si="5"/>
        <v>324</v>
      </c>
      <c r="K21" s="6">
        <f t="shared" si="6"/>
        <v>234</v>
      </c>
      <c r="M21" s="6">
        <v>80</v>
      </c>
      <c r="N21" s="6">
        <v>50</v>
      </c>
      <c r="O21" s="6">
        <v>8</v>
      </c>
      <c r="P21" s="6">
        <v>12</v>
      </c>
      <c r="R21" s="6" t="s">
        <v>112</v>
      </c>
      <c r="S21" s="6" t="s">
        <v>115</v>
      </c>
    </row>
    <row r="22" spans="1:19">
      <c r="A22" s="6" t="s">
        <v>78</v>
      </c>
      <c r="B22" s="3" t="s">
        <v>34</v>
      </c>
      <c r="C22" s="6">
        <v>21</v>
      </c>
      <c r="D22" s="6">
        <v>101871</v>
      </c>
      <c r="E22" s="6">
        <f t="shared" si="0"/>
        <v>2080</v>
      </c>
      <c r="F22" s="6">
        <f t="shared" si="1"/>
        <v>1850</v>
      </c>
      <c r="G22" s="6">
        <f t="shared" si="2"/>
        <v>26</v>
      </c>
      <c r="H22" s="6">
        <f t="shared" si="3"/>
        <v>40</v>
      </c>
      <c r="I22" s="6">
        <f t="shared" si="4"/>
        <v>37</v>
      </c>
      <c r="J22" s="6">
        <f t="shared" si="5"/>
        <v>333</v>
      </c>
      <c r="K22" s="6">
        <f t="shared" si="6"/>
        <v>240</v>
      </c>
      <c r="M22" s="6">
        <v>80</v>
      </c>
      <c r="N22" s="6">
        <v>50</v>
      </c>
      <c r="O22" s="6">
        <v>8</v>
      </c>
      <c r="P22" s="6">
        <v>12</v>
      </c>
      <c r="R22" s="6" t="s">
        <v>112</v>
      </c>
      <c r="S22" s="6" t="s">
        <v>115</v>
      </c>
    </row>
    <row r="23" spans="1:19">
      <c r="A23" s="6" t="s">
        <v>79</v>
      </c>
      <c r="B23" s="3" t="s">
        <v>34</v>
      </c>
      <c r="C23" s="6">
        <v>22</v>
      </c>
      <c r="D23" s="6">
        <v>117128</v>
      </c>
      <c r="E23" s="6">
        <f t="shared" si="0"/>
        <v>2160</v>
      </c>
      <c r="F23" s="6">
        <f t="shared" si="1"/>
        <v>1900</v>
      </c>
      <c r="G23" s="6">
        <f t="shared" si="2"/>
        <v>27</v>
      </c>
      <c r="H23" s="6">
        <f t="shared" si="3"/>
        <v>41</v>
      </c>
      <c r="I23" s="6">
        <f t="shared" si="4"/>
        <v>38</v>
      </c>
      <c r="J23" s="6">
        <f t="shared" si="5"/>
        <v>342</v>
      </c>
      <c r="K23" s="6">
        <f t="shared" si="6"/>
        <v>246</v>
      </c>
      <c r="M23" s="6">
        <v>80</v>
      </c>
      <c r="N23" s="6">
        <v>50</v>
      </c>
      <c r="O23" s="6">
        <v>8</v>
      </c>
      <c r="P23" s="6">
        <v>12</v>
      </c>
      <c r="R23" s="6" t="s">
        <v>112</v>
      </c>
      <c r="S23" s="6" t="s">
        <v>115</v>
      </c>
    </row>
    <row r="24" spans="1:19">
      <c r="A24" s="6" t="s">
        <v>80</v>
      </c>
      <c r="B24" s="3" t="s">
        <v>34</v>
      </c>
      <c r="C24" s="6">
        <v>23</v>
      </c>
      <c r="D24" s="6">
        <v>133837</v>
      </c>
      <c r="E24" s="6">
        <f t="shared" si="0"/>
        <v>2240</v>
      </c>
      <c r="F24" s="6">
        <f t="shared" si="1"/>
        <v>1950</v>
      </c>
      <c r="G24" s="6">
        <f t="shared" si="2"/>
        <v>28</v>
      </c>
      <c r="H24" s="6">
        <f t="shared" si="3"/>
        <v>42</v>
      </c>
      <c r="I24" s="6">
        <f t="shared" si="4"/>
        <v>39</v>
      </c>
      <c r="J24" s="6">
        <f t="shared" si="5"/>
        <v>351</v>
      </c>
      <c r="K24" s="6">
        <f t="shared" si="6"/>
        <v>252</v>
      </c>
      <c r="M24" s="6">
        <v>80</v>
      </c>
      <c r="N24" s="6">
        <v>50</v>
      </c>
      <c r="O24" s="6">
        <v>8</v>
      </c>
      <c r="P24" s="6">
        <v>12</v>
      </c>
      <c r="R24" s="6" t="s">
        <v>112</v>
      </c>
      <c r="S24" s="6" t="s">
        <v>115</v>
      </c>
    </row>
    <row r="25" spans="1:19">
      <c r="A25" s="6" t="s">
        <v>81</v>
      </c>
      <c r="B25" s="3" t="s">
        <v>34</v>
      </c>
      <c r="C25" s="6">
        <v>24</v>
      </c>
      <c r="D25" s="6">
        <v>152064</v>
      </c>
      <c r="E25" s="6">
        <f t="shared" si="0"/>
        <v>2320</v>
      </c>
      <c r="F25" s="6">
        <f t="shared" si="1"/>
        <v>2000</v>
      </c>
      <c r="G25" s="6">
        <f t="shared" si="2"/>
        <v>29</v>
      </c>
      <c r="H25" s="6">
        <f t="shared" si="3"/>
        <v>43</v>
      </c>
      <c r="I25" s="6">
        <f t="shared" si="4"/>
        <v>40</v>
      </c>
      <c r="J25" s="6">
        <f t="shared" si="5"/>
        <v>360</v>
      </c>
      <c r="K25" s="6">
        <f t="shared" si="6"/>
        <v>258</v>
      </c>
      <c r="M25" s="6">
        <v>80</v>
      </c>
      <c r="N25" s="6">
        <v>50</v>
      </c>
      <c r="O25" s="6">
        <v>8</v>
      </c>
      <c r="P25" s="6">
        <v>12</v>
      </c>
      <c r="R25" s="6" t="s">
        <v>112</v>
      </c>
      <c r="S25" s="6" t="s">
        <v>115</v>
      </c>
    </row>
    <row r="26" spans="1:19">
      <c r="A26" s="6" t="s">
        <v>82</v>
      </c>
      <c r="B26" s="3" t="s">
        <v>34</v>
      </c>
      <c r="C26" s="6">
        <v>25</v>
      </c>
      <c r="D26" s="6">
        <v>171875</v>
      </c>
      <c r="E26" s="6">
        <f t="shared" si="0"/>
        <v>2400</v>
      </c>
      <c r="F26" s="6">
        <f t="shared" si="1"/>
        <v>2050</v>
      </c>
      <c r="G26" s="6">
        <f t="shared" si="2"/>
        <v>30</v>
      </c>
      <c r="H26" s="6">
        <f t="shared" si="3"/>
        <v>44</v>
      </c>
      <c r="I26" s="6">
        <f t="shared" si="4"/>
        <v>41</v>
      </c>
      <c r="J26" s="6">
        <f t="shared" si="5"/>
        <v>369</v>
      </c>
      <c r="K26" s="6">
        <f t="shared" si="6"/>
        <v>264</v>
      </c>
      <c r="M26" s="6">
        <v>80</v>
      </c>
      <c r="N26" s="6">
        <v>50</v>
      </c>
      <c r="O26" s="6">
        <v>8</v>
      </c>
      <c r="P26" s="6">
        <v>12</v>
      </c>
      <c r="R26" s="6" t="s">
        <v>112</v>
      </c>
      <c r="S26" s="6" t="s">
        <v>115</v>
      </c>
    </row>
    <row r="27" spans="1:19">
      <c r="A27" s="6" t="s">
        <v>83</v>
      </c>
      <c r="B27" s="3" t="s">
        <v>34</v>
      </c>
      <c r="C27" s="6">
        <v>26</v>
      </c>
      <c r="D27" s="6">
        <v>193336</v>
      </c>
      <c r="E27" s="6">
        <f t="shared" si="0"/>
        <v>2480</v>
      </c>
      <c r="F27" s="6">
        <f t="shared" si="1"/>
        <v>2100</v>
      </c>
      <c r="G27" s="6">
        <f t="shared" si="2"/>
        <v>31</v>
      </c>
      <c r="H27" s="6">
        <f t="shared" si="3"/>
        <v>45</v>
      </c>
      <c r="I27" s="6">
        <f t="shared" si="4"/>
        <v>42</v>
      </c>
      <c r="J27" s="6">
        <f t="shared" si="5"/>
        <v>378</v>
      </c>
      <c r="K27" s="6">
        <f t="shared" si="6"/>
        <v>270</v>
      </c>
      <c r="M27" s="6">
        <v>80</v>
      </c>
      <c r="N27" s="6">
        <v>50</v>
      </c>
      <c r="O27" s="6">
        <v>8</v>
      </c>
      <c r="P27" s="6">
        <v>12</v>
      </c>
      <c r="R27" s="6" t="s">
        <v>112</v>
      </c>
      <c r="S27" s="6" t="s">
        <v>115</v>
      </c>
    </row>
    <row r="28" spans="1:19">
      <c r="A28" s="6" t="s">
        <v>84</v>
      </c>
      <c r="B28" s="3" t="s">
        <v>34</v>
      </c>
      <c r="C28" s="6">
        <v>27</v>
      </c>
      <c r="D28" s="6">
        <v>216513</v>
      </c>
      <c r="E28" s="6">
        <f t="shared" si="0"/>
        <v>2560</v>
      </c>
      <c r="F28" s="6">
        <f t="shared" si="1"/>
        <v>2150</v>
      </c>
      <c r="G28" s="6">
        <f t="shared" si="2"/>
        <v>32</v>
      </c>
      <c r="H28" s="6">
        <f t="shared" si="3"/>
        <v>46</v>
      </c>
      <c r="I28" s="6">
        <f t="shared" si="4"/>
        <v>43</v>
      </c>
      <c r="J28" s="6">
        <f t="shared" si="5"/>
        <v>387</v>
      </c>
      <c r="K28" s="6">
        <f t="shared" si="6"/>
        <v>276</v>
      </c>
      <c r="M28" s="6">
        <v>80</v>
      </c>
      <c r="N28" s="6">
        <v>50</v>
      </c>
      <c r="O28" s="6">
        <v>8</v>
      </c>
      <c r="P28" s="6">
        <v>12</v>
      </c>
      <c r="R28" s="6" t="s">
        <v>112</v>
      </c>
      <c r="S28" s="6" t="s">
        <v>115</v>
      </c>
    </row>
    <row r="29" spans="1:19">
      <c r="A29" s="6" t="s">
        <v>85</v>
      </c>
      <c r="B29" s="3" t="s">
        <v>34</v>
      </c>
      <c r="C29" s="6">
        <v>28</v>
      </c>
      <c r="D29" s="6">
        <v>241472</v>
      </c>
      <c r="E29" s="6">
        <f t="shared" si="0"/>
        <v>2640</v>
      </c>
      <c r="F29" s="6">
        <f t="shared" si="1"/>
        <v>2200</v>
      </c>
      <c r="G29" s="6">
        <f t="shared" si="2"/>
        <v>33</v>
      </c>
      <c r="H29" s="6">
        <f t="shared" si="3"/>
        <v>47</v>
      </c>
      <c r="I29" s="6">
        <f t="shared" si="4"/>
        <v>44</v>
      </c>
      <c r="J29" s="6">
        <f t="shared" si="5"/>
        <v>396</v>
      </c>
      <c r="K29" s="6">
        <f t="shared" si="6"/>
        <v>282</v>
      </c>
      <c r="M29" s="6">
        <v>80</v>
      </c>
      <c r="N29" s="6">
        <v>50</v>
      </c>
      <c r="O29" s="6">
        <v>8</v>
      </c>
      <c r="P29" s="6">
        <v>12</v>
      </c>
      <c r="R29" s="6" t="s">
        <v>112</v>
      </c>
      <c r="S29" s="6" t="s">
        <v>115</v>
      </c>
    </row>
    <row r="30" spans="1:19">
      <c r="A30" s="6" t="s">
        <v>86</v>
      </c>
      <c r="B30" s="3" t="s">
        <v>34</v>
      </c>
      <c r="C30" s="6">
        <v>29</v>
      </c>
      <c r="D30" s="6">
        <v>268279</v>
      </c>
      <c r="E30" s="6">
        <f t="shared" si="0"/>
        <v>2720</v>
      </c>
      <c r="F30" s="6">
        <f t="shared" si="1"/>
        <v>2250</v>
      </c>
      <c r="G30" s="6">
        <f t="shared" si="2"/>
        <v>34</v>
      </c>
      <c r="H30" s="6">
        <f t="shared" si="3"/>
        <v>48</v>
      </c>
      <c r="I30" s="6">
        <f t="shared" si="4"/>
        <v>45</v>
      </c>
      <c r="J30" s="6">
        <f t="shared" si="5"/>
        <v>405</v>
      </c>
      <c r="K30" s="6">
        <f t="shared" si="6"/>
        <v>288</v>
      </c>
      <c r="M30" s="6">
        <v>80</v>
      </c>
      <c r="N30" s="6">
        <v>50</v>
      </c>
      <c r="O30" s="6">
        <v>8</v>
      </c>
      <c r="P30" s="6">
        <v>12</v>
      </c>
      <c r="R30" s="6" t="s">
        <v>112</v>
      </c>
      <c r="S30" s="6" t="s">
        <v>115</v>
      </c>
    </row>
    <row r="31" spans="1:19">
      <c r="A31" s="6" t="s">
        <v>87</v>
      </c>
      <c r="B31" s="3" t="s">
        <v>34</v>
      </c>
      <c r="C31" s="6">
        <v>30</v>
      </c>
      <c r="D31" s="6">
        <v>297000</v>
      </c>
      <c r="E31" s="6">
        <f t="shared" si="0"/>
        <v>3500</v>
      </c>
      <c r="F31" s="6">
        <f t="shared" si="1"/>
        <v>3220</v>
      </c>
      <c r="G31" s="6">
        <f t="shared" si="2"/>
        <v>35</v>
      </c>
      <c r="H31" s="6">
        <f t="shared" si="3"/>
        <v>49</v>
      </c>
      <c r="I31" s="6">
        <f t="shared" si="4"/>
        <v>46</v>
      </c>
      <c r="J31" s="6">
        <f t="shared" si="5"/>
        <v>414</v>
      </c>
      <c r="K31" s="6">
        <f t="shared" si="6"/>
        <v>294</v>
      </c>
      <c r="M31" s="6">
        <v>100</v>
      </c>
      <c r="N31" s="6">
        <v>70</v>
      </c>
      <c r="O31" s="6">
        <v>10</v>
      </c>
      <c r="P31" s="6">
        <v>15</v>
      </c>
      <c r="R31" s="6" t="s">
        <v>112</v>
      </c>
      <c r="S31" s="6" t="s">
        <v>115</v>
      </c>
    </row>
    <row r="32" spans="1:19">
      <c r="A32" s="6" t="s">
        <v>88</v>
      </c>
      <c r="B32" s="3" t="s">
        <v>34</v>
      </c>
      <c r="C32" s="6">
        <v>31</v>
      </c>
      <c r="D32" s="6">
        <v>327701</v>
      </c>
      <c r="E32" s="6">
        <f t="shared" si="0"/>
        <v>3600</v>
      </c>
      <c r="F32" s="6">
        <f t="shared" si="1"/>
        <v>3290</v>
      </c>
      <c r="G32" s="6">
        <f t="shared" si="2"/>
        <v>36</v>
      </c>
      <c r="H32" s="6">
        <f t="shared" si="3"/>
        <v>50</v>
      </c>
      <c r="I32" s="6">
        <f t="shared" si="4"/>
        <v>47</v>
      </c>
      <c r="J32" s="6">
        <f t="shared" si="5"/>
        <v>423</v>
      </c>
      <c r="K32" s="6">
        <f t="shared" si="6"/>
        <v>300</v>
      </c>
      <c r="M32" s="6">
        <v>100</v>
      </c>
      <c r="N32" s="6">
        <v>70</v>
      </c>
      <c r="O32" s="6">
        <v>10</v>
      </c>
      <c r="P32" s="6">
        <v>15</v>
      </c>
      <c r="R32" s="6" t="s">
        <v>112</v>
      </c>
      <c r="S32" s="6" t="s">
        <v>115</v>
      </c>
    </row>
    <row r="33" spans="1:19">
      <c r="A33" s="6" t="s">
        <v>89</v>
      </c>
      <c r="B33" s="3" t="s">
        <v>34</v>
      </c>
      <c r="C33" s="6">
        <v>32</v>
      </c>
      <c r="D33" s="6">
        <v>360448</v>
      </c>
      <c r="E33" s="6">
        <f t="shared" si="0"/>
        <v>3700</v>
      </c>
      <c r="F33" s="6">
        <f t="shared" si="1"/>
        <v>3360</v>
      </c>
      <c r="G33" s="6">
        <f t="shared" si="2"/>
        <v>37</v>
      </c>
      <c r="H33" s="6">
        <f t="shared" si="3"/>
        <v>51</v>
      </c>
      <c r="I33" s="6">
        <f t="shared" si="4"/>
        <v>48</v>
      </c>
      <c r="J33" s="6">
        <f t="shared" si="5"/>
        <v>432</v>
      </c>
      <c r="K33" s="6">
        <f t="shared" si="6"/>
        <v>306</v>
      </c>
      <c r="M33" s="6">
        <v>100</v>
      </c>
      <c r="N33" s="6">
        <v>70</v>
      </c>
      <c r="O33" s="6">
        <v>10</v>
      </c>
      <c r="P33" s="6">
        <v>15</v>
      </c>
      <c r="R33" s="6" t="s">
        <v>112</v>
      </c>
      <c r="S33" s="6" t="s">
        <v>115</v>
      </c>
    </row>
    <row r="34" spans="1:19">
      <c r="A34" s="6" t="s">
        <v>90</v>
      </c>
      <c r="B34" s="3" t="s">
        <v>34</v>
      </c>
      <c r="C34" s="6">
        <v>33</v>
      </c>
      <c r="D34" s="6">
        <v>395307</v>
      </c>
      <c r="E34" s="6">
        <f t="shared" si="0"/>
        <v>3800</v>
      </c>
      <c r="F34" s="6">
        <f t="shared" si="1"/>
        <v>3430</v>
      </c>
      <c r="G34" s="6">
        <f t="shared" si="2"/>
        <v>38</v>
      </c>
      <c r="H34" s="6">
        <f t="shared" si="3"/>
        <v>52</v>
      </c>
      <c r="I34" s="6">
        <f t="shared" si="4"/>
        <v>49</v>
      </c>
      <c r="J34" s="6">
        <f t="shared" si="5"/>
        <v>441</v>
      </c>
      <c r="K34" s="6">
        <f t="shared" si="6"/>
        <v>312</v>
      </c>
      <c r="M34" s="6">
        <v>100</v>
      </c>
      <c r="N34" s="6">
        <v>70</v>
      </c>
      <c r="O34" s="6">
        <v>10</v>
      </c>
      <c r="P34" s="6">
        <v>15</v>
      </c>
      <c r="R34" s="6" t="s">
        <v>112</v>
      </c>
      <c r="S34" s="6" t="s">
        <v>115</v>
      </c>
    </row>
    <row r="35" spans="1:19">
      <c r="A35" s="6" t="s">
        <v>91</v>
      </c>
      <c r="B35" s="3" t="s">
        <v>34</v>
      </c>
      <c r="C35" s="6">
        <v>34</v>
      </c>
      <c r="D35" s="6">
        <v>432344</v>
      </c>
      <c r="E35" s="6">
        <f t="shared" si="0"/>
        <v>3900</v>
      </c>
      <c r="F35" s="6">
        <f t="shared" si="1"/>
        <v>3500</v>
      </c>
      <c r="G35" s="6">
        <f t="shared" si="2"/>
        <v>39</v>
      </c>
      <c r="H35" s="6">
        <f t="shared" si="3"/>
        <v>53</v>
      </c>
      <c r="I35" s="6">
        <f t="shared" si="4"/>
        <v>50</v>
      </c>
      <c r="J35" s="6">
        <f t="shared" si="5"/>
        <v>450</v>
      </c>
      <c r="K35" s="6">
        <f t="shared" si="6"/>
        <v>318</v>
      </c>
      <c r="M35" s="6">
        <v>100</v>
      </c>
      <c r="N35" s="6">
        <v>70</v>
      </c>
      <c r="O35" s="6">
        <v>10</v>
      </c>
      <c r="P35" s="6">
        <v>15</v>
      </c>
      <c r="R35" s="6" t="s">
        <v>112</v>
      </c>
      <c r="S35" s="6" t="s">
        <v>115</v>
      </c>
    </row>
    <row r="36" spans="1:19">
      <c r="A36" s="6" t="s">
        <v>92</v>
      </c>
      <c r="B36" s="3" t="s">
        <v>34</v>
      </c>
      <c r="C36" s="6">
        <v>35</v>
      </c>
      <c r="D36" s="6">
        <v>471625</v>
      </c>
      <c r="E36" s="6">
        <f t="shared" si="0"/>
        <v>4000</v>
      </c>
      <c r="F36" s="6">
        <f t="shared" si="1"/>
        <v>3570</v>
      </c>
      <c r="G36" s="6">
        <f t="shared" si="2"/>
        <v>40</v>
      </c>
      <c r="H36" s="6">
        <f t="shared" si="3"/>
        <v>54</v>
      </c>
      <c r="I36" s="6">
        <f t="shared" si="4"/>
        <v>51</v>
      </c>
      <c r="J36" s="6">
        <f t="shared" si="5"/>
        <v>459</v>
      </c>
      <c r="K36" s="6">
        <f t="shared" si="6"/>
        <v>324</v>
      </c>
      <c r="M36" s="6">
        <v>100</v>
      </c>
      <c r="N36" s="6">
        <v>70</v>
      </c>
      <c r="O36" s="6">
        <v>10</v>
      </c>
      <c r="P36" s="6">
        <v>15</v>
      </c>
      <c r="R36" s="6" t="s">
        <v>112</v>
      </c>
      <c r="S36" s="6" t="s">
        <v>115</v>
      </c>
    </row>
    <row r="37" spans="1:19">
      <c r="A37" s="6" t="s">
        <v>93</v>
      </c>
      <c r="B37" s="3" t="s">
        <v>34</v>
      </c>
      <c r="C37" s="6">
        <v>36</v>
      </c>
      <c r="D37" s="6">
        <v>513216</v>
      </c>
      <c r="E37" s="6">
        <f t="shared" si="0"/>
        <v>4100</v>
      </c>
      <c r="F37" s="6">
        <f t="shared" si="1"/>
        <v>3640</v>
      </c>
      <c r="G37" s="6">
        <f t="shared" si="2"/>
        <v>41</v>
      </c>
      <c r="H37" s="6">
        <f t="shared" si="3"/>
        <v>55</v>
      </c>
      <c r="I37" s="6">
        <f t="shared" si="4"/>
        <v>52</v>
      </c>
      <c r="J37" s="6">
        <f t="shared" si="5"/>
        <v>468</v>
      </c>
      <c r="K37" s="6">
        <f t="shared" si="6"/>
        <v>330</v>
      </c>
      <c r="M37" s="6">
        <v>100</v>
      </c>
      <c r="N37" s="6">
        <v>70</v>
      </c>
      <c r="O37" s="6">
        <v>10</v>
      </c>
      <c r="P37" s="6">
        <v>15</v>
      </c>
      <c r="R37" s="6" t="s">
        <v>112</v>
      </c>
      <c r="S37" s="6" t="s">
        <v>115</v>
      </c>
    </row>
    <row r="38" spans="1:19">
      <c r="A38" s="6" t="s">
        <v>94</v>
      </c>
      <c r="B38" s="3" t="s">
        <v>34</v>
      </c>
      <c r="C38" s="6">
        <v>37</v>
      </c>
      <c r="D38" s="6">
        <v>557183</v>
      </c>
      <c r="E38" s="6">
        <f t="shared" si="0"/>
        <v>4200</v>
      </c>
      <c r="F38" s="6">
        <f t="shared" si="1"/>
        <v>3710</v>
      </c>
      <c r="G38" s="6">
        <f t="shared" si="2"/>
        <v>42</v>
      </c>
      <c r="H38" s="6">
        <f t="shared" si="3"/>
        <v>56</v>
      </c>
      <c r="I38" s="6">
        <f t="shared" si="4"/>
        <v>53</v>
      </c>
      <c r="J38" s="6">
        <f t="shared" si="5"/>
        <v>477</v>
      </c>
      <c r="K38" s="6">
        <f t="shared" si="6"/>
        <v>336</v>
      </c>
      <c r="M38" s="6">
        <v>100</v>
      </c>
      <c r="N38" s="6">
        <v>70</v>
      </c>
      <c r="O38" s="6">
        <v>10</v>
      </c>
      <c r="P38" s="6">
        <v>15</v>
      </c>
      <c r="R38" s="6" t="s">
        <v>112</v>
      </c>
      <c r="S38" s="6" t="s">
        <v>115</v>
      </c>
    </row>
    <row r="39" spans="1:19">
      <c r="A39" s="6" t="s">
        <v>95</v>
      </c>
      <c r="B39" s="3" t="s">
        <v>34</v>
      </c>
      <c r="C39" s="6">
        <v>38</v>
      </c>
      <c r="D39" s="6">
        <v>603592</v>
      </c>
      <c r="E39" s="6">
        <f t="shared" si="0"/>
        <v>4300</v>
      </c>
      <c r="F39" s="6">
        <f t="shared" si="1"/>
        <v>3780</v>
      </c>
      <c r="G39" s="6">
        <f t="shared" si="2"/>
        <v>43</v>
      </c>
      <c r="H39" s="6">
        <f t="shared" si="3"/>
        <v>57</v>
      </c>
      <c r="I39" s="6">
        <f t="shared" si="4"/>
        <v>54</v>
      </c>
      <c r="J39" s="6">
        <f t="shared" si="5"/>
        <v>486</v>
      </c>
      <c r="K39" s="6">
        <f t="shared" si="6"/>
        <v>342</v>
      </c>
      <c r="M39" s="6">
        <v>100</v>
      </c>
      <c r="N39" s="6">
        <v>70</v>
      </c>
      <c r="O39" s="6">
        <v>10</v>
      </c>
      <c r="P39" s="6">
        <v>15</v>
      </c>
      <c r="R39" s="6" t="s">
        <v>112</v>
      </c>
      <c r="S39" s="6" t="s">
        <v>115</v>
      </c>
    </row>
    <row r="40" spans="1:19">
      <c r="A40" s="6" t="s">
        <v>96</v>
      </c>
      <c r="B40" s="3" t="s">
        <v>34</v>
      </c>
      <c r="C40" s="6">
        <v>39</v>
      </c>
      <c r="D40" s="6">
        <v>652509</v>
      </c>
      <c r="E40" s="6">
        <f t="shared" si="0"/>
        <v>4400</v>
      </c>
      <c r="F40" s="6">
        <f t="shared" si="1"/>
        <v>3850</v>
      </c>
      <c r="G40" s="6">
        <f t="shared" si="2"/>
        <v>44</v>
      </c>
      <c r="H40" s="6">
        <f t="shared" si="3"/>
        <v>58</v>
      </c>
      <c r="I40" s="6">
        <f t="shared" si="4"/>
        <v>55</v>
      </c>
      <c r="J40" s="6">
        <f t="shared" si="5"/>
        <v>495</v>
      </c>
      <c r="K40" s="6">
        <f t="shared" si="6"/>
        <v>348</v>
      </c>
      <c r="M40" s="6">
        <v>100</v>
      </c>
      <c r="N40" s="6">
        <v>70</v>
      </c>
      <c r="O40" s="6">
        <v>10</v>
      </c>
      <c r="P40" s="6">
        <v>15</v>
      </c>
      <c r="R40" s="6" t="s">
        <v>112</v>
      </c>
      <c r="S40" s="6" t="s">
        <v>115</v>
      </c>
    </row>
    <row r="41" spans="1:19">
      <c r="A41" s="6" t="s">
        <v>97</v>
      </c>
      <c r="B41" s="3" t="s">
        <v>34</v>
      </c>
      <c r="C41" s="6">
        <v>40</v>
      </c>
      <c r="D41" s="6">
        <v>704000</v>
      </c>
      <c r="E41" s="6">
        <f t="shared" si="0"/>
        <v>4500</v>
      </c>
      <c r="F41" s="6">
        <f t="shared" si="1"/>
        <v>3920</v>
      </c>
      <c r="G41" s="6">
        <f t="shared" si="2"/>
        <v>45</v>
      </c>
      <c r="H41" s="6">
        <f t="shared" si="3"/>
        <v>59</v>
      </c>
      <c r="I41" s="6">
        <f t="shared" si="4"/>
        <v>56</v>
      </c>
      <c r="J41" s="6">
        <f t="shared" si="5"/>
        <v>504</v>
      </c>
      <c r="K41" s="6">
        <f t="shared" si="6"/>
        <v>354</v>
      </c>
      <c r="M41" s="6">
        <v>100</v>
      </c>
      <c r="N41" s="6">
        <v>70</v>
      </c>
      <c r="O41" s="6">
        <v>10</v>
      </c>
      <c r="P41" s="6">
        <v>15</v>
      </c>
      <c r="R41" s="6" t="s">
        <v>112</v>
      </c>
      <c r="S41" s="6" t="s">
        <v>115</v>
      </c>
    </row>
    <row r="42" spans="1:19">
      <c r="A42" s="6" t="s">
        <v>98</v>
      </c>
      <c r="B42" s="3" t="s">
        <v>34</v>
      </c>
      <c r="C42" s="6">
        <v>41</v>
      </c>
      <c r="D42" s="6">
        <v>758131</v>
      </c>
      <c r="E42" s="6">
        <f t="shared" si="0"/>
        <v>4600</v>
      </c>
      <c r="F42" s="6">
        <f t="shared" si="1"/>
        <v>3990</v>
      </c>
      <c r="G42" s="6">
        <f t="shared" si="2"/>
        <v>46</v>
      </c>
      <c r="H42" s="6">
        <f t="shared" si="3"/>
        <v>60</v>
      </c>
      <c r="I42" s="6">
        <f t="shared" si="4"/>
        <v>57</v>
      </c>
      <c r="J42" s="6">
        <f t="shared" si="5"/>
        <v>513</v>
      </c>
      <c r="K42" s="6">
        <f t="shared" si="6"/>
        <v>360</v>
      </c>
      <c r="M42" s="6">
        <v>100</v>
      </c>
      <c r="N42" s="6">
        <v>70</v>
      </c>
      <c r="O42" s="6">
        <v>10</v>
      </c>
      <c r="P42" s="6">
        <v>15</v>
      </c>
      <c r="R42" s="6" t="s">
        <v>112</v>
      </c>
      <c r="S42" s="6" t="s">
        <v>115</v>
      </c>
    </row>
    <row r="43" spans="1:19">
      <c r="A43" s="6" t="s">
        <v>99</v>
      </c>
      <c r="B43" s="3" t="s">
        <v>34</v>
      </c>
      <c r="C43" s="6">
        <v>42</v>
      </c>
      <c r="D43" s="6">
        <v>814968</v>
      </c>
      <c r="E43" s="6">
        <f t="shared" si="0"/>
        <v>4700</v>
      </c>
      <c r="F43" s="6">
        <f t="shared" si="1"/>
        <v>4060</v>
      </c>
      <c r="G43" s="6">
        <f t="shared" si="2"/>
        <v>47</v>
      </c>
      <c r="H43" s="6">
        <f t="shared" si="3"/>
        <v>61</v>
      </c>
      <c r="I43" s="6">
        <f t="shared" si="4"/>
        <v>58</v>
      </c>
      <c r="J43" s="6">
        <f t="shared" si="5"/>
        <v>522</v>
      </c>
      <c r="K43" s="6">
        <f t="shared" si="6"/>
        <v>366</v>
      </c>
      <c r="M43" s="6">
        <v>100</v>
      </c>
      <c r="N43" s="6">
        <v>70</v>
      </c>
      <c r="O43" s="6">
        <v>10</v>
      </c>
      <c r="P43" s="6">
        <v>15</v>
      </c>
      <c r="R43" s="6" t="s">
        <v>112</v>
      </c>
      <c r="S43" s="6" t="s">
        <v>115</v>
      </c>
    </row>
    <row r="44" spans="1:19">
      <c r="A44" s="6" t="s">
        <v>100</v>
      </c>
      <c r="B44" s="3" t="s">
        <v>34</v>
      </c>
      <c r="C44" s="6">
        <v>43</v>
      </c>
      <c r="D44" s="6">
        <v>874577</v>
      </c>
      <c r="E44" s="6">
        <f t="shared" si="0"/>
        <v>4800</v>
      </c>
      <c r="F44" s="6">
        <f t="shared" si="1"/>
        <v>4130</v>
      </c>
      <c r="G44" s="6">
        <f t="shared" si="2"/>
        <v>48</v>
      </c>
      <c r="H44" s="6">
        <f t="shared" si="3"/>
        <v>62</v>
      </c>
      <c r="I44" s="6">
        <f t="shared" si="4"/>
        <v>59</v>
      </c>
      <c r="J44" s="6">
        <f t="shared" si="5"/>
        <v>531</v>
      </c>
      <c r="K44" s="6">
        <f t="shared" si="6"/>
        <v>372</v>
      </c>
      <c r="M44" s="6">
        <v>100</v>
      </c>
      <c r="N44" s="6">
        <v>70</v>
      </c>
      <c r="O44" s="6">
        <v>10</v>
      </c>
      <c r="P44" s="6">
        <v>15</v>
      </c>
      <c r="R44" s="6" t="s">
        <v>112</v>
      </c>
      <c r="S44" s="6" t="s">
        <v>115</v>
      </c>
    </row>
    <row r="45" spans="1:19">
      <c r="A45" s="6" t="s">
        <v>101</v>
      </c>
      <c r="B45" s="3" t="s">
        <v>34</v>
      </c>
      <c r="C45" s="6">
        <v>44</v>
      </c>
      <c r="D45" s="6">
        <v>937024</v>
      </c>
      <c r="E45" s="6">
        <f t="shared" si="0"/>
        <v>4900</v>
      </c>
      <c r="F45" s="6">
        <f t="shared" si="1"/>
        <v>4200</v>
      </c>
      <c r="G45" s="6">
        <f t="shared" si="2"/>
        <v>49</v>
      </c>
      <c r="H45" s="6">
        <f t="shared" si="3"/>
        <v>63</v>
      </c>
      <c r="I45" s="6">
        <f t="shared" si="4"/>
        <v>60</v>
      </c>
      <c r="J45" s="6">
        <f t="shared" si="5"/>
        <v>540</v>
      </c>
      <c r="K45" s="6">
        <f t="shared" si="6"/>
        <v>378</v>
      </c>
      <c r="M45" s="6">
        <v>100</v>
      </c>
      <c r="N45" s="6">
        <v>70</v>
      </c>
      <c r="O45" s="6">
        <v>10</v>
      </c>
      <c r="P45" s="6">
        <v>15</v>
      </c>
      <c r="R45" s="6" t="s">
        <v>112</v>
      </c>
      <c r="S45" s="6" t="s">
        <v>115</v>
      </c>
    </row>
    <row r="46" spans="1:19">
      <c r="A46" s="6" t="s">
        <v>102</v>
      </c>
      <c r="B46" s="3" t="s">
        <v>34</v>
      </c>
      <c r="C46" s="6">
        <v>45</v>
      </c>
      <c r="D46" s="6">
        <v>1002375</v>
      </c>
      <c r="E46" s="6">
        <f t="shared" si="0"/>
        <v>5000</v>
      </c>
      <c r="F46" s="6">
        <f t="shared" si="1"/>
        <v>4270</v>
      </c>
      <c r="G46" s="6">
        <f t="shared" si="2"/>
        <v>50</v>
      </c>
      <c r="H46" s="6">
        <f t="shared" si="3"/>
        <v>64</v>
      </c>
      <c r="I46" s="6">
        <f t="shared" si="4"/>
        <v>61</v>
      </c>
      <c r="J46" s="6">
        <f t="shared" si="5"/>
        <v>549</v>
      </c>
      <c r="K46" s="6">
        <f t="shared" si="6"/>
        <v>384</v>
      </c>
      <c r="M46" s="6">
        <v>100</v>
      </c>
      <c r="N46" s="6">
        <v>70</v>
      </c>
      <c r="O46" s="6">
        <v>10</v>
      </c>
      <c r="P46" s="6">
        <v>15</v>
      </c>
      <c r="R46" s="6" t="s">
        <v>112</v>
      </c>
      <c r="S46" s="6" t="s">
        <v>115</v>
      </c>
    </row>
    <row r="47" spans="1:19">
      <c r="A47" s="6" t="s">
        <v>103</v>
      </c>
      <c r="B47" s="3" t="s">
        <v>45</v>
      </c>
      <c r="C47" s="6">
        <v>1</v>
      </c>
      <c r="D47" s="6" t="s">
        <v>113</v>
      </c>
      <c r="E47" s="6">
        <v>200</v>
      </c>
      <c r="F47" s="6" t="s">
        <v>113</v>
      </c>
      <c r="G47" s="6">
        <f t="shared" si="2"/>
        <v>6</v>
      </c>
      <c r="R47" s="6" t="s">
        <v>112</v>
      </c>
      <c r="S47" s="6" t="s">
        <v>116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DVSECTION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N2"/>
  <sheetViews>
    <sheetView workbookViewId="0">
      <selection activeCell="N1" sqref="N1"/>
    </sheetView>
  </sheetViews>
  <sheetFormatPr defaultRowHeight="13.5"/>
  <cols>
    <col min="1" max="1" width="9" style="1"/>
    <col min="2" max="2" width="10.125" style="3" customWidth="1"/>
    <col min="3" max="3" width="10" style="3" customWidth="1"/>
    <col min="4" max="4" width="13.5" style="3" customWidth="1"/>
    <col min="5" max="5" width="9" style="3"/>
    <col min="6" max="16384" width="9" style="1"/>
  </cols>
  <sheetData>
    <row r="1" spans="1:14" s="5" customFormat="1">
      <c r="A1" s="5" t="s">
        <v>47</v>
      </c>
      <c r="B1" s="3" t="s">
        <v>48</v>
      </c>
      <c r="C1" s="3" t="s">
        <v>49</v>
      </c>
      <c r="D1" s="3" t="s">
        <v>52</v>
      </c>
      <c r="E1" s="3" t="s">
        <v>53</v>
      </c>
      <c r="F1" s="6" t="s">
        <v>22</v>
      </c>
      <c r="G1" s="5" t="s">
        <v>106</v>
      </c>
      <c r="H1" s="5" t="s">
        <v>117</v>
      </c>
      <c r="I1" s="5" t="s">
        <v>107</v>
      </c>
      <c r="J1" s="5" t="s">
        <v>20</v>
      </c>
      <c r="K1" s="5" t="s">
        <v>273</v>
      </c>
      <c r="L1" s="5" t="s">
        <v>108</v>
      </c>
      <c r="M1" s="5" t="s">
        <v>126</v>
      </c>
      <c r="N1" s="5" t="s">
        <v>280</v>
      </c>
    </row>
    <row r="2" spans="1:14">
      <c r="A2" s="1" t="s">
        <v>54</v>
      </c>
      <c r="B2" s="3" t="s">
        <v>56</v>
      </c>
      <c r="C2" s="3" t="s">
        <v>57</v>
      </c>
      <c r="D2" s="3" t="s">
        <v>104</v>
      </c>
      <c r="E2" s="3" t="s">
        <v>105</v>
      </c>
      <c r="F2" s="1" t="s">
        <v>110</v>
      </c>
      <c r="G2" s="1">
        <v>1</v>
      </c>
      <c r="H2" s="1">
        <v>45</v>
      </c>
      <c r="L2" s="1" t="s">
        <v>109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DVSECTION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N9"/>
  <sheetViews>
    <sheetView workbookViewId="0">
      <selection activeCell="G21" sqref="G21"/>
    </sheetView>
  </sheetViews>
  <sheetFormatPr defaultRowHeight="13.5"/>
  <cols>
    <col min="1" max="1" width="8.5" style="14" bestFit="1" customWidth="1"/>
    <col min="2" max="2" width="9" style="1" bestFit="1" customWidth="1"/>
    <col min="3" max="3" width="12.125" style="2" bestFit="1" customWidth="1"/>
    <col min="4" max="5" width="9.75" style="1" bestFit="1" customWidth="1"/>
    <col min="6" max="6" width="19.375" style="1" bestFit="1" customWidth="1"/>
    <col min="7" max="7" width="18.625" style="1" bestFit="1" customWidth="1"/>
    <col min="8" max="8" width="14.125" style="1" bestFit="1" customWidth="1"/>
    <col min="9" max="9" width="40.25" style="1" bestFit="1" customWidth="1"/>
    <col min="10" max="10" width="13.125" style="1" bestFit="1" customWidth="1"/>
    <col min="11" max="11" width="52.625" style="1" bestFit="1" customWidth="1"/>
    <col min="12" max="12" width="42.25" style="1" bestFit="1" customWidth="1"/>
    <col min="13" max="13" width="21.375" style="1" bestFit="1" customWidth="1"/>
    <col min="14" max="14" width="14.125" style="1" bestFit="1" customWidth="1"/>
    <col min="15" max="16384" width="9" style="1"/>
  </cols>
  <sheetData>
    <row r="1" spans="1:14" s="11" customFormat="1">
      <c r="A1" s="13" t="s">
        <v>118</v>
      </c>
      <c r="B1" s="11" t="s">
        <v>119</v>
      </c>
      <c r="C1" s="12" t="s">
        <v>121</v>
      </c>
      <c r="D1" s="11" t="s">
        <v>281</v>
      </c>
      <c r="E1" s="11" t="s">
        <v>123</v>
      </c>
      <c r="F1" s="11" t="s">
        <v>282</v>
      </c>
      <c r="G1" s="11" t="s">
        <v>283</v>
      </c>
      <c r="H1" s="11" t="s">
        <v>284</v>
      </c>
      <c r="I1" s="11" t="s">
        <v>285</v>
      </c>
      <c r="J1" s="11" t="s">
        <v>286</v>
      </c>
      <c r="K1" s="11" t="s">
        <v>287</v>
      </c>
      <c r="L1" s="11" t="s">
        <v>288</v>
      </c>
      <c r="M1" s="11" t="s">
        <v>289</v>
      </c>
      <c r="N1" s="11" t="s">
        <v>350</v>
      </c>
    </row>
    <row r="2" spans="1:14">
      <c r="A2" s="14" t="s">
        <v>120</v>
      </c>
      <c r="B2" s="1" t="s">
        <v>290</v>
      </c>
      <c r="C2" s="2" t="s">
        <v>122</v>
      </c>
      <c r="D2" s="1" t="s">
        <v>347</v>
      </c>
      <c r="E2" s="1">
        <v>10</v>
      </c>
      <c r="F2" s="1" t="s">
        <v>305</v>
      </c>
      <c r="G2" s="1" t="s">
        <v>309</v>
      </c>
      <c r="H2" s="1" t="s">
        <v>316</v>
      </c>
      <c r="I2" s="1" t="s">
        <v>318</v>
      </c>
      <c r="J2" s="1" t="s">
        <v>313</v>
      </c>
      <c r="K2" s="1" t="s">
        <v>329</v>
      </c>
      <c r="L2" s="1" t="s">
        <v>337</v>
      </c>
      <c r="M2" s="1" t="s">
        <v>341</v>
      </c>
    </row>
    <row r="3" spans="1:14">
      <c r="A3" s="14" t="s">
        <v>298</v>
      </c>
      <c r="B3" s="1" t="s">
        <v>291</v>
      </c>
      <c r="C3" s="2" t="s">
        <v>18</v>
      </c>
      <c r="D3" s="1" t="s">
        <v>347</v>
      </c>
      <c r="E3" s="1">
        <v>10</v>
      </c>
      <c r="F3" s="1" t="s">
        <v>305</v>
      </c>
      <c r="G3" s="1" t="s">
        <v>310</v>
      </c>
      <c r="H3" s="1" t="s">
        <v>316</v>
      </c>
      <c r="I3" s="1" t="s">
        <v>319</v>
      </c>
      <c r="J3" s="1" t="s">
        <v>326</v>
      </c>
      <c r="K3" s="1" t="s">
        <v>330</v>
      </c>
      <c r="L3" s="1" t="s">
        <v>338</v>
      </c>
      <c r="M3" s="1" t="s">
        <v>342</v>
      </c>
    </row>
    <row r="4" spans="1:14">
      <c r="A4" s="14" t="s">
        <v>299</v>
      </c>
      <c r="B4" s="1" t="s">
        <v>292</v>
      </c>
      <c r="C4" s="2" t="s">
        <v>18</v>
      </c>
      <c r="D4" s="1" t="s">
        <v>347</v>
      </c>
      <c r="E4" s="1">
        <v>10</v>
      </c>
      <c r="F4" s="1" t="s">
        <v>306</v>
      </c>
      <c r="G4" s="1" t="s">
        <v>311</v>
      </c>
      <c r="H4" s="1" t="s">
        <v>316</v>
      </c>
      <c r="I4" s="1" t="s">
        <v>320</v>
      </c>
      <c r="J4" s="1" t="s">
        <v>327</v>
      </c>
      <c r="K4" s="1" t="s">
        <v>331</v>
      </c>
      <c r="L4" s="1" t="s">
        <v>339</v>
      </c>
      <c r="M4" s="1" t="s">
        <v>342</v>
      </c>
    </row>
    <row r="5" spans="1:14">
      <c r="A5" s="14" t="s">
        <v>300</v>
      </c>
      <c r="B5" s="1" t="s">
        <v>293</v>
      </c>
      <c r="C5" s="2" t="s">
        <v>18</v>
      </c>
      <c r="D5" s="1" t="s">
        <v>348</v>
      </c>
      <c r="E5" s="1">
        <v>10</v>
      </c>
      <c r="F5" s="1" t="s">
        <v>305</v>
      </c>
      <c r="G5" s="1" t="s">
        <v>312</v>
      </c>
      <c r="H5" s="1" t="s">
        <v>313</v>
      </c>
      <c r="I5" s="1" t="s">
        <v>321</v>
      </c>
      <c r="J5" s="1" t="s">
        <v>313</v>
      </c>
      <c r="K5" s="1" t="s">
        <v>332</v>
      </c>
      <c r="L5" s="1" t="s">
        <v>340</v>
      </c>
      <c r="M5" s="1" t="s">
        <v>343</v>
      </c>
    </row>
    <row r="6" spans="1:14">
      <c r="A6" s="14" t="s">
        <v>301</v>
      </c>
      <c r="B6" s="1" t="s">
        <v>294</v>
      </c>
      <c r="C6" s="2" t="s">
        <v>18</v>
      </c>
      <c r="D6" s="1" t="s">
        <v>348</v>
      </c>
      <c r="E6" s="1">
        <v>10</v>
      </c>
      <c r="F6" s="1" t="s">
        <v>307</v>
      </c>
      <c r="G6" s="1" t="s">
        <v>313</v>
      </c>
      <c r="H6" s="1" t="s">
        <v>313</v>
      </c>
      <c r="I6" s="1" t="s">
        <v>322</v>
      </c>
      <c r="J6" s="1" t="s">
        <v>313</v>
      </c>
      <c r="K6" s="1" t="s">
        <v>333</v>
      </c>
      <c r="L6" s="1" t="s">
        <v>340</v>
      </c>
      <c r="M6" s="1" t="s">
        <v>343</v>
      </c>
    </row>
    <row r="7" spans="1:14">
      <c r="A7" s="14" t="s">
        <v>302</v>
      </c>
      <c r="B7" s="1" t="s">
        <v>295</v>
      </c>
      <c r="C7" s="2" t="s">
        <v>18</v>
      </c>
      <c r="D7" s="1" t="s">
        <v>347</v>
      </c>
      <c r="E7" s="1">
        <v>10</v>
      </c>
      <c r="F7" s="1" t="s">
        <v>307</v>
      </c>
      <c r="G7" s="1" t="s">
        <v>313</v>
      </c>
      <c r="H7" s="1" t="s">
        <v>313</v>
      </c>
      <c r="I7" s="1" t="s">
        <v>323</v>
      </c>
      <c r="J7" s="1" t="s">
        <v>313</v>
      </c>
      <c r="K7" s="1" t="s">
        <v>334</v>
      </c>
      <c r="L7" s="1" t="s">
        <v>337</v>
      </c>
      <c r="M7" s="1" t="s">
        <v>344</v>
      </c>
    </row>
    <row r="8" spans="1:14">
      <c r="A8" s="14" t="s">
        <v>303</v>
      </c>
      <c r="B8" s="1" t="s">
        <v>296</v>
      </c>
      <c r="C8" s="2" t="s">
        <v>18</v>
      </c>
      <c r="D8" s="1" t="s">
        <v>349</v>
      </c>
      <c r="E8" s="1">
        <v>10</v>
      </c>
      <c r="F8" s="1" t="s">
        <v>306</v>
      </c>
      <c r="G8" s="1" t="s">
        <v>314</v>
      </c>
      <c r="H8" s="1" t="s">
        <v>317</v>
      </c>
      <c r="I8" s="1" t="s">
        <v>324</v>
      </c>
      <c r="J8" s="1" t="s">
        <v>328</v>
      </c>
      <c r="K8" s="1" t="s">
        <v>335</v>
      </c>
      <c r="L8" s="1" t="s">
        <v>340</v>
      </c>
      <c r="M8" s="1" t="s">
        <v>345</v>
      </c>
    </row>
    <row r="9" spans="1:14">
      <c r="A9" s="14" t="s">
        <v>304</v>
      </c>
      <c r="B9" s="1" t="s">
        <v>297</v>
      </c>
      <c r="C9" s="2" t="s">
        <v>18</v>
      </c>
      <c r="D9" s="1" t="s">
        <v>349</v>
      </c>
      <c r="E9" s="1">
        <v>10</v>
      </c>
      <c r="F9" s="1" t="s">
        <v>308</v>
      </c>
      <c r="G9" s="1" t="s">
        <v>315</v>
      </c>
      <c r="H9" s="1" t="s">
        <v>316</v>
      </c>
      <c r="I9" s="1" t="s">
        <v>325</v>
      </c>
      <c r="J9" s="1" t="s">
        <v>328</v>
      </c>
      <c r="K9" s="1" t="s">
        <v>336</v>
      </c>
      <c r="L9" s="1" t="s">
        <v>340</v>
      </c>
      <c r="M9" s="1" t="s">
        <v>346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DVSECTION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E82"/>
  <sheetViews>
    <sheetView workbookViewId="0">
      <selection activeCell="G13" sqref="G13"/>
    </sheetView>
  </sheetViews>
  <sheetFormatPr defaultRowHeight="13.5"/>
  <sheetData>
    <row r="1" spans="1:5" s="8" customFormat="1" ht="27">
      <c r="A1" s="8" t="s">
        <v>127</v>
      </c>
      <c r="B1" s="8" t="s">
        <v>128</v>
      </c>
      <c r="C1" s="8" t="s">
        <v>129</v>
      </c>
      <c r="D1" s="8" t="s">
        <v>130</v>
      </c>
      <c r="E1" s="8" t="s">
        <v>131</v>
      </c>
    </row>
    <row r="2" spans="1:5">
      <c r="A2" t="s">
        <v>132</v>
      </c>
      <c r="B2">
        <v>1</v>
      </c>
      <c r="C2">
        <v>1</v>
      </c>
      <c r="D2" s="9">
        <v>1</v>
      </c>
      <c r="E2" s="9">
        <v>0.01</v>
      </c>
    </row>
    <row r="3" spans="1:5">
      <c r="A3" t="s">
        <v>133</v>
      </c>
      <c r="B3">
        <v>2</v>
      </c>
      <c r="C3">
        <v>1</v>
      </c>
      <c r="D3" s="9">
        <v>1</v>
      </c>
      <c r="E3" s="10">
        <v>1.4999999999999999E-2</v>
      </c>
    </row>
    <row r="4" spans="1:5">
      <c r="A4" t="s">
        <v>134</v>
      </c>
      <c r="B4">
        <v>3</v>
      </c>
      <c r="C4">
        <v>1</v>
      </c>
      <c r="D4" s="9">
        <v>1</v>
      </c>
      <c r="E4" s="9">
        <v>0.02</v>
      </c>
    </row>
    <row r="5" spans="1:5">
      <c r="A5" t="s">
        <v>135</v>
      </c>
      <c r="B5">
        <v>4</v>
      </c>
      <c r="C5">
        <v>1</v>
      </c>
      <c r="D5" s="9">
        <v>1</v>
      </c>
      <c r="E5" s="10">
        <v>2.5000000000000001E-2</v>
      </c>
    </row>
    <row r="6" spans="1:5">
      <c r="A6" t="s">
        <v>136</v>
      </c>
      <c r="B6">
        <v>5</v>
      </c>
      <c r="C6">
        <v>1</v>
      </c>
      <c r="D6" s="9">
        <v>1</v>
      </c>
      <c r="E6" s="9">
        <v>0.03</v>
      </c>
    </row>
    <row r="7" spans="1:5">
      <c r="A7" t="s">
        <v>137</v>
      </c>
      <c r="B7">
        <v>6</v>
      </c>
      <c r="C7">
        <v>1</v>
      </c>
      <c r="D7" s="9">
        <v>1</v>
      </c>
      <c r="E7" s="10">
        <v>3.5000000000000003E-2</v>
      </c>
    </row>
    <row r="8" spans="1:5">
      <c r="A8" t="s">
        <v>138</v>
      </c>
      <c r="B8">
        <v>7</v>
      </c>
      <c r="C8">
        <v>1</v>
      </c>
      <c r="D8" s="9">
        <v>1</v>
      </c>
      <c r="E8">
        <v>4</v>
      </c>
    </row>
    <row r="9" spans="1:5">
      <c r="A9" t="s">
        <v>139</v>
      </c>
      <c r="B9">
        <v>8</v>
      </c>
      <c r="C9">
        <v>1</v>
      </c>
      <c r="D9" s="9">
        <v>1</v>
      </c>
      <c r="E9" s="10">
        <v>4.4999999999999998E-2</v>
      </c>
    </row>
    <row r="10" spans="1:5">
      <c r="A10" t="s">
        <v>140</v>
      </c>
      <c r="B10">
        <v>9</v>
      </c>
      <c r="C10">
        <v>1</v>
      </c>
      <c r="D10" s="9">
        <v>1</v>
      </c>
      <c r="E10">
        <v>5</v>
      </c>
    </row>
    <row r="11" spans="1:5">
      <c r="A11" t="s">
        <v>141</v>
      </c>
      <c r="B11">
        <v>1</v>
      </c>
      <c r="C11">
        <v>2</v>
      </c>
      <c r="D11" s="9">
        <v>0.8</v>
      </c>
      <c r="E11" s="9">
        <v>0.01</v>
      </c>
    </row>
    <row r="12" spans="1:5">
      <c r="A12" t="s">
        <v>142</v>
      </c>
      <c r="B12">
        <v>2</v>
      </c>
      <c r="C12">
        <v>2</v>
      </c>
      <c r="D12" s="9">
        <v>0.9</v>
      </c>
      <c r="E12" s="10">
        <v>1.4999999999999999E-2</v>
      </c>
    </row>
    <row r="13" spans="1:5">
      <c r="A13" t="s">
        <v>143</v>
      </c>
      <c r="B13">
        <v>3</v>
      </c>
      <c r="C13">
        <v>2</v>
      </c>
      <c r="D13" s="9">
        <v>1</v>
      </c>
      <c r="E13" s="9">
        <v>0.02</v>
      </c>
    </row>
    <row r="14" spans="1:5">
      <c r="A14" t="s">
        <v>144</v>
      </c>
      <c r="B14">
        <v>4</v>
      </c>
      <c r="C14">
        <v>2</v>
      </c>
      <c r="D14" s="9">
        <v>1</v>
      </c>
      <c r="E14" s="10">
        <v>2.5000000000000001E-2</v>
      </c>
    </row>
    <row r="15" spans="1:5">
      <c r="A15" t="s">
        <v>145</v>
      </c>
      <c r="B15">
        <v>5</v>
      </c>
      <c r="C15">
        <v>2</v>
      </c>
      <c r="D15" s="9">
        <v>1</v>
      </c>
      <c r="E15" s="9">
        <v>0.03</v>
      </c>
    </row>
    <row r="16" spans="1:5">
      <c r="A16" t="s">
        <v>146</v>
      </c>
      <c r="B16">
        <v>6</v>
      </c>
      <c r="C16">
        <v>2</v>
      </c>
      <c r="D16" s="9">
        <v>1</v>
      </c>
      <c r="E16" s="10">
        <v>3.5000000000000003E-2</v>
      </c>
    </row>
    <row r="17" spans="1:5">
      <c r="A17" t="s">
        <v>147</v>
      </c>
      <c r="B17">
        <v>7</v>
      </c>
      <c r="C17">
        <v>2</v>
      </c>
      <c r="D17" s="9">
        <v>1</v>
      </c>
      <c r="E17">
        <v>4</v>
      </c>
    </row>
    <row r="18" spans="1:5">
      <c r="A18" t="s">
        <v>148</v>
      </c>
      <c r="B18">
        <v>8</v>
      </c>
      <c r="C18">
        <v>2</v>
      </c>
      <c r="D18" s="9">
        <v>1</v>
      </c>
      <c r="E18" s="10">
        <v>4.4999999999999998E-2</v>
      </c>
    </row>
    <row r="19" spans="1:5">
      <c r="A19" t="s">
        <v>149</v>
      </c>
      <c r="B19">
        <v>9</v>
      </c>
      <c r="C19">
        <v>2</v>
      </c>
      <c r="D19" s="9">
        <v>1</v>
      </c>
      <c r="E19">
        <v>5</v>
      </c>
    </row>
    <row r="20" spans="1:5">
      <c r="A20" t="s">
        <v>150</v>
      </c>
      <c r="B20">
        <v>1</v>
      </c>
      <c r="C20">
        <v>3</v>
      </c>
      <c r="D20" s="9">
        <v>0.6</v>
      </c>
      <c r="E20" s="9">
        <v>0.01</v>
      </c>
    </row>
    <row r="21" spans="1:5">
      <c r="A21" t="s">
        <v>151</v>
      </c>
      <c r="B21">
        <v>2</v>
      </c>
      <c r="C21">
        <v>3</v>
      </c>
      <c r="D21" s="9">
        <v>0.7</v>
      </c>
      <c r="E21" s="10">
        <v>1.4999999999999999E-2</v>
      </c>
    </row>
    <row r="22" spans="1:5">
      <c r="A22" t="s">
        <v>152</v>
      </c>
      <c r="B22">
        <v>3</v>
      </c>
      <c r="C22">
        <v>3</v>
      </c>
      <c r="D22" s="9">
        <v>0.9</v>
      </c>
      <c r="E22" s="9">
        <v>0.02</v>
      </c>
    </row>
    <row r="23" spans="1:5">
      <c r="A23" t="s">
        <v>153</v>
      </c>
      <c r="B23">
        <v>4</v>
      </c>
      <c r="C23">
        <v>3</v>
      </c>
      <c r="D23" s="9">
        <v>1</v>
      </c>
      <c r="E23" s="10">
        <v>2.5000000000000001E-2</v>
      </c>
    </row>
    <row r="24" spans="1:5">
      <c r="A24" t="s">
        <v>154</v>
      </c>
      <c r="B24">
        <v>5</v>
      </c>
      <c r="C24">
        <v>3</v>
      </c>
      <c r="D24" s="9">
        <v>1</v>
      </c>
      <c r="E24" s="9">
        <v>0.03</v>
      </c>
    </row>
    <row r="25" spans="1:5">
      <c r="A25" t="s">
        <v>155</v>
      </c>
      <c r="B25">
        <v>6</v>
      </c>
      <c r="C25">
        <v>3</v>
      </c>
      <c r="D25" s="9">
        <v>1</v>
      </c>
      <c r="E25" s="10">
        <v>3.5000000000000003E-2</v>
      </c>
    </row>
    <row r="26" spans="1:5">
      <c r="A26" t="s">
        <v>156</v>
      </c>
      <c r="B26">
        <v>7</v>
      </c>
      <c r="C26">
        <v>3</v>
      </c>
      <c r="D26" s="9">
        <v>1</v>
      </c>
      <c r="E26">
        <v>4</v>
      </c>
    </row>
    <row r="27" spans="1:5">
      <c r="A27" t="s">
        <v>157</v>
      </c>
      <c r="B27">
        <v>8</v>
      </c>
      <c r="C27">
        <v>3</v>
      </c>
      <c r="D27" s="9">
        <v>1</v>
      </c>
      <c r="E27" s="10">
        <v>4.4999999999999998E-2</v>
      </c>
    </row>
    <row r="28" spans="1:5">
      <c r="A28" t="s">
        <v>158</v>
      </c>
      <c r="B28">
        <v>9</v>
      </c>
      <c r="C28">
        <v>3</v>
      </c>
      <c r="D28" s="9">
        <v>1</v>
      </c>
      <c r="E28">
        <v>5</v>
      </c>
    </row>
    <row r="29" spans="1:5">
      <c r="A29" t="s">
        <v>159</v>
      </c>
      <c r="B29">
        <v>1</v>
      </c>
      <c r="C29">
        <v>4</v>
      </c>
      <c r="D29" s="9">
        <v>0.4</v>
      </c>
      <c r="E29" s="9">
        <v>0.01</v>
      </c>
    </row>
    <row r="30" spans="1:5">
      <c r="A30" t="s">
        <v>160</v>
      </c>
      <c r="B30">
        <v>2</v>
      </c>
      <c r="C30">
        <v>4</v>
      </c>
      <c r="D30" s="9">
        <v>0.5</v>
      </c>
      <c r="E30" s="10">
        <v>1.4999999999999999E-2</v>
      </c>
    </row>
    <row r="31" spans="1:5">
      <c r="A31" t="s">
        <v>161</v>
      </c>
      <c r="B31">
        <v>3</v>
      </c>
      <c r="C31">
        <v>4</v>
      </c>
      <c r="D31" s="9">
        <v>0.6</v>
      </c>
      <c r="E31" s="9">
        <v>0.02</v>
      </c>
    </row>
    <row r="32" spans="1:5">
      <c r="A32" t="s">
        <v>162</v>
      </c>
      <c r="B32">
        <v>4</v>
      </c>
      <c r="C32">
        <v>4</v>
      </c>
      <c r="D32" s="9">
        <v>0.7</v>
      </c>
      <c r="E32" s="10">
        <v>2.5000000000000001E-2</v>
      </c>
    </row>
    <row r="33" spans="1:5">
      <c r="A33" t="s">
        <v>163</v>
      </c>
      <c r="B33">
        <v>5</v>
      </c>
      <c r="C33">
        <v>4</v>
      </c>
      <c r="D33" s="9">
        <v>0.9</v>
      </c>
      <c r="E33" s="9">
        <v>0.03</v>
      </c>
    </row>
    <row r="34" spans="1:5">
      <c r="A34" t="s">
        <v>164</v>
      </c>
      <c r="B34">
        <v>6</v>
      </c>
      <c r="C34">
        <v>4</v>
      </c>
      <c r="D34" s="9">
        <v>1</v>
      </c>
      <c r="E34" s="10">
        <v>3.5000000000000003E-2</v>
      </c>
    </row>
    <row r="35" spans="1:5">
      <c r="A35" t="s">
        <v>165</v>
      </c>
      <c r="B35">
        <v>7</v>
      </c>
      <c r="C35">
        <v>4</v>
      </c>
      <c r="D35" s="9">
        <v>1</v>
      </c>
      <c r="E35">
        <v>4</v>
      </c>
    </row>
    <row r="36" spans="1:5">
      <c r="A36" t="s">
        <v>166</v>
      </c>
      <c r="B36">
        <v>8</v>
      </c>
      <c r="C36">
        <v>4</v>
      </c>
      <c r="D36" s="9">
        <v>1</v>
      </c>
      <c r="E36" s="10">
        <v>4.4999999999999998E-2</v>
      </c>
    </row>
    <row r="37" spans="1:5">
      <c r="A37" t="s">
        <v>167</v>
      </c>
      <c r="B37">
        <v>9</v>
      </c>
      <c r="C37">
        <v>4</v>
      </c>
      <c r="D37" s="9">
        <v>1</v>
      </c>
      <c r="E37">
        <v>5</v>
      </c>
    </row>
    <row r="38" spans="1:5">
      <c r="A38" t="s">
        <v>168</v>
      </c>
      <c r="B38">
        <v>1</v>
      </c>
      <c r="C38">
        <v>5</v>
      </c>
      <c r="D38" s="9">
        <v>0.2</v>
      </c>
      <c r="E38" s="9">
        <v>0.01</v>
      </c>
    </row>
    <row r="39" spans="1:5">
      <c r="A39" t="s">
        <v>169</v>
      </c>
      <c r="B39">
        <v>2</v>
      </c>
      <c r="C39">
        <v>5</v>
      </c>
      <c r="D39" s="9">
        <v>0.3</v>
      </c>
      <c r="E39" s="10">
        <v>1.4999999999999999E-2</v>
      </c>
    </row>
    <row r="40" spans="1:5">
      <c r="A40" t="s">
        <v>170</v>
      </c>
      <c r="B40">
        <v>3</v>
      </c>
      <c r="C40">
        <v>5</v>
      </c>
      <c r="D40" s="9">
        <v>0.4</v>
      </c>
      <c r="E40" s="9">
        <v>0.02</v>
      </c>
    </row>
    <row r="41" spans="1:5">
      <c r="A41" t="s">
        <v>171</v>
      </c>
      <c r="B41">
        <v>4</v>
      </c>
      <c r="C41">
        <v>5</v>
      </c>
      <c r="D41" s="9">
        <v>0.5</v>
      </c>
      <c r="E41" s="10">
        <v>2.5000000000000001E-2</v>
      </c>
    </row>
    <row r="42" spans="1:5">
      <c r="A42" t="s">
        <v>172</v>
      </c>
      <c r="B42">
        <v>5</v>
      </c>
      <c r="C42">
        <v>5</v>
      </c>
      <c r="D42" s="9">
        <v>0.6</v>
      </c>
      <c r="E42" s="9">
        <v>0.03</v>
      </c>
    </row>
    <row r="43" spans="1:5">
      <c r="A43" t="s">
        <v>173</v>
      </c>
      <c r="B43">
        <v>6</v>
      </c>
      <c r="C43">
        <v>5</v>
      </c>
      <c r="D43" s="9">
        <v>0.8</v>
      </c>
      <c r="E43" s="10">
        <v>3.5000000000000003E-2</v>
      </c>
    </row>
    <row r="44" spans="1:5">
      <c r="A44" t="s">
        <v>174</v>
      </c>
      <c r="B44">
        <v>7</v>
      </c>
      <c r="C44">
        <v>5</v>
      </c>
      <c r="D44" s="9">
        <v>0.9</v>
      </c>
      <c r="E44">
        <v>4</v>
      </c>
    </row>
    <row r="45" spans="1:5">
      <c r="A45" t="s">
        <v>175</v>
      </c>
      <c r="B45">
        <v>8</v>
      </c>
      <c r="C45">
        <v>5</v>
      </c>
      <c r="D45" s="9">
        <v>1</v>
      </c>
      <c r="E45" s="10">
        <v>4.4999999999999998E-2</v>
      </c>
    </row>
    <row r="46" spans="1:5">
      <c r="A46" t="s">
        <v>176</v>
      </c>
      <c r="B46">
        <v>9</v>
      </c>
      <c r="C46">
        <v>5</v>
      </c>
      <c r="D46" s="9">
        <v>1</v>
      </c>
      <c r="E46">
        <v>5</v>
      </c>
    </row>
    <row r="47" spans="1:5">
      <c r="A47" t="s">
        <v>177</v>
      </c>
      <c r="B47">
        <v>1</v>
      </c>
      <c r="C47">
        <v>6</v>
      </c>
      <c r="D47" s="9">
        <v>0</v>
      </c>
      <c r="E47" s="9">
        <v>0.01</v>
      </c>
    </row>
    <row r="48" spans="1:5">
      <c r="A48" t="s">
        <v>178</v>
      </c>
      <c r="B48">
        <v>2</v>
      </c>
      <c r="C48">
        <v>6</v>
      </c>
      <c r="D48" s="9">
        <v>0.2</v>
      </c>
      <c r="E48" s="10">
        <v>1.4999999999999999E-2</v>
      </c>
    </row>
    <row r="49" spans="1:5">
      <c r="A49" t="s">
        <v>179</v>
      </c>
      <c r="B49">
        <v>3</v>
      </c>
      <c r="C49">
        <v>6</v>
      </c>
      <c r="D49" s="9">
        <v>0.3</v>
      </c>
      <c r="E49" s="9">
        <v>0.02</v>
      </c>
    </row>
    <row r="50" spans="1:5">
      <c r="A50" t="s">
        <v>180</v>
      </c>
      <c r="B50">
        <v>4</v>
      </c>
      <c r="C50">
        <v>6</v>
      </c>
      <c r="D50" s="9">
        <v>0.4</v>
      </c>
      <c r="E50" s="10">
        <v>2.5000000000000001E-2</v>
      </c>
    </row>
    <row r="51" spans="1:5">
      <c r="A51" t="s">
        <v>181</v>
      </c>
      <c r="B51">
        <v>5</v>
      </c>
      <c r="C51">
        <v>6</v>
      </c>
      <c r="D51" s="9">
        <v>0.5</v>
      </c>
      <c r="E51" s="9">
        <v>0.03</v>
      </c>
    </row>
    <row r="52" spans="1:5">
      <c r="A52" t="s">
        <v>182</v>
      </c>
      <c r="B52">
        <v>6</v>
      </c>
      <c r="C52">
        <v>6</v>
      </c>
      <c r="D52" s="9">
        <v>0.6</v>
      </c>
      <c r="E52" s="10">
        <v>3.5000000000000003E-2</v>
      </c>
    </row>
    <row r="53" spans="1:5">
      <c r="A53" t="s">
        <v>183</v>
      </c>
      <c r="B53">
        <v>7</v>
      </c>
      <c r="C53">
        <v>6</v>
      </c>
      <c r="D53" s="9">
        <v>0.7</v>
      </c>
      <c r="E53">
        <v>4</v>
      </c>
    </row>
    <row r="54" spans="1:5">
      <c r="A54" t="s">
        <v>184</v>
      </c>
      <c r="B54">
        <v>8</v>
      </c>
      <c r="C54">
        <v>6</v>
      </c>
      <c r="D54" s="9">
        <v>0.9</v>
      </c>
      <c r="E54" s="10">
        <v>4.4999999999999998E-2</v>
      </c>
    </row>
    <row r="55" spans="1:5">
      <c r="A55" t="s">
        <v>185</v>
      </c>
      <c r="B55">
        <v>9</v>
      </c>
      <c r="C55">
        <v>6</v>
      </c>
      <c r="D55" s="9">
        <v>1</v>
      </c>
      <c r="E55">
        <v>5</v>
      </c>
    </row>
    <row r="56" spans="1:5">
      <c r="A56" t="s">
        <v>186</v>
      </c>
      <c r="B56">
        <v>1</v>
      </c>
      <c r="C56">
        <v>7</v>
      </c>
      <c r="D56" s="9">
        <v>0</v>
      </c>
      <c r="E56" s="9">
        <v>0.01</v>
      </c>
    </row>
    <row r="57" spans="1:5">
      <c r="A57" t="s">
        <v>187</v>
      </c>
      <c r="B57">
        <v>2</v>
      </c>
      <c r="C57">
        <v>7</v>
      </c>
      <c r="D57" s="9">
        <v>0</v>
      </c>
      <c r="E57" s="10">
        <v>1.4999999999999999E-2</v>
      </c>
    </row>
    <row r="58" spans="1:5">
      <c r="A58" t="s">
        <v>188</v>
      </c>
      <c r="B58">
        <v>3</v>
      </c>
      <c r="C58">
        <v>7</v>
      </c>
      <c r="D58" s="9">
        <v>0.2</v>
      </c>
      <c r="E58" s="9">
        <v>0.02</v>
      </c>
    </row>
    <row r="59" spans="1:5">
      <c r="A59" t="s">
        <v>189</v>
      </c>
      <c r="B59">
        <v>4</v>
      </c>
      <c r="C59">
        <v>7</v>
      </c>
      <c r="D59" s="9">
        <v>0.3</v>
      </c>
      <c r="E59" s="10">
        <v>2.5000000000000001E-2</v>
      </c>
    </row>
    <row r="60" spans="1:5">
      <c r="A60" t="s">
        <v>190</v>
      </c>
      <c r="B60">
        <v>5</v>
      </c>
      <c r="C60">
        <v>7</v>
      </c>
      <c r="D60" s="9">
        <v>0.4</v>
      </c>
      <c r="E60" s="9">
        <v>0.03</v>
      </c>
    </row>
    <row r="61" spans="1:5">
      <c r="A61" t="s">
        <v>191</v>
      </c>
      <c r="B61">
        <v>6</v>
      </c>
      <c r="C61">
        <v>7</v>
      </c>
      <c r="D61" s="9">
        <v>0.5</v>
      </c>
      <c r="E61" s="10">
        <v>3.5000000000000003E-2</v>
      </c>
    </row>
    <row r="62" spans="1:5">
      <c r="A62" t="s">
        <v>192</v>
      </c>
      <c r="B62">
        <v>7</v>
      </c>
      <c r="C62">
        <v>7</v>
      </c>
      <c r="D62" s="9">
        <v>0.6</v>
      </c>
      <c r="E62">
        <v>4</v>
      </c>
    </row>
    <row r="63" spans="1:5">
      <c r="A63" t="s">
        <v>193</v>
      </c>
      <c r="B63">
        <v>8</v>
      </c>
      <c r="C63">
        <v>7</v>
      </c>
      <c r="D63" s="9">
        <v>0.7</v>
      </c>
      <c r="E63" s="10">
        <v>4.4999999999999998E-2</v>
      </c>
    </row>
    <row r="64" spans="1:5">
      <c r="A64" t="s">
        <v>194</v>
      </c>
      <c r="B64">
        <v>9</v>
      </c>
      <c r="C64">
        <v>7</v>
      </c>
      <c r="D64" s="9">
        <v>0.9</v>
      </c>
      <c r="E64">
        <v>5</v>
      </c>
    </row>
    <row r="65" spans="1:5">
      <c r="A65" t="s">
        <v>195</v>
      </c>
      <c r="B65">
        <v>1</v>
      </c>
      <c r="C65">
        <v>8</v>
      </c>
      <c r="D65" s="9">
        <v>0</v>
      </c>
      <c r="E65" s="9">
        <v>0.01</v>
      </c>
    </row>
    <row r="66" spans="1:5">
      <c r="A66" t="s">
        <v>196</v>
      </c>
      <c r="B66">
        <v>2</v>
      </c>
      <c r="C66">
        <v>8</v>
      </c>
      <c r="D66" s="9">
        <v>0</v>
      </c>
      <c r="E66" s="10">
        <v>1.4999999999999999E-2</v>
      </c>
    </row>
    <row r="67" spans="1:5">
      <c r="A67" t="s">
        <v>197</v>
      </c>
      <c r="B67">
        <v>3</v>
      </c>
      <c r="C67">
        <v>8</v>
      </c>
      <c r="D67" s="9">
        <v>0</v>
      </c>
      <c r="E67" s="9">
        <v>0.02</v>
      </c>
    </row>
    <row r="68" spans="1:5">
      <c r="A68" t="s">
        <v>198</v>
      </c>
      <c r="B68">
        <v>4</v>
      </c>
      <c r="C68">
        <v>8</v>
      </c>
      <c r="D68" s="9">
        <v>0.2</v>
      </c>
      <c r="E68" s="10">
        <v>2.5000000000000001E-2</v>
      </c>
    </row>
    <row r="69" spans="1:5">
      <c r="A69" t="s">
        <v>199</v>
      </c>
      <c r="B69">
        <v>5</v>
      </c>
      <c r="C69">
        <v>8</v>
      </c>
      <c r="D69" s="9">
        <v>0.3</v>
      </c>
      <c r="E69" s="9">
        <v>0.03</v>
      </c>
    </row>
    <row r="70" spans="1:5">
      <c r="A70" t="s">
        <v>200</v>
      </c>
      <c r="B70">
        <v>6</v>
      </c>
      <c r="C70">
        <v>8</v>
      </c>
      <c r="D70" s="9">
        <v>0.4</v>
      </c>
      <c r="E70" s="10">
        <v>3.5000000000000003E-2</v>
      </c>
    </row>
    <row r="71" spans="1:5">
      <c r="A71" t="s">
        <v>201</v>
      </c>
      <c r="B71">
        <v>7</v>
      </c>
      <c r="C71">
        <v>8</v>
      </c>
      <c r="D71" s="9">
        <v>0.5</v>
      </c>
      <c r="E71">
        <v>4</v>
      </c>
    </row>
    <row r="72" spans="1:5">
      <c r="A72" t="s">
        <v>202</v>
      </c>
      <c r="B72">
        <v>8</v>
      </c>
      <c r="C72">
        <v>8</v>
      </c>
      <c r="D72" s="9">
        <v>0.6</v>
      </c>
      <c r="E72" s="10">
        <v>4.4999999999999998E-2</v>
      </c>
    </row>
    <row r="73" spans="1:5">
      <c r="A73" t="s">
        <v>203</v>
      </c>
      <c r="B73">
        <v>9</v>
      </c>
      <c r="C73">
        <v>8</v>
      </c>
      <c r="D73" s="9">
        <v>0.7</v>
      </c>
      <c r="E73">
        <v>5</v>
      </c>
    </row>
    <row r="74" spans="1:5">
      <c r="A74" t="s">
        <v>204</v>
      </c>
      <c r="B74">
        <v>1</v>
      </c>
      <c r="C74">
        <v>9</v>
      </c>
      <c r="D74" s="9">
        <v>0</v>
      </c>
      <c r="E74" s="9">
        <v>0.01</v>
      </c>
    </row>
    <row r="75" spans="1:5">
      <c r="A75" t="s">
        <v>205</v>
      </c>
      <c r="B75">
        <v>2</v>
      </c>
      <c r="C75">
        <v>9</v>
      </c>
      <c r="D75" s="9">
        <v>0</v>
      </c>
      <c r="E75" s="10">
        <v>1.4999999999999999E-2</v>
      </c>
    </row>
    <row r="76" spans="1:5">
      <c r="A76" t="s">
        <v>206</v>
      </c>
      <c r="B76">
        <v>3</v>
      </c>
      <c r="C76">
        <v>9</v>
      </c>
      <c r="D76" s="9">
        <v>0</v>
      </c>
      <c r="E76" s="9">
        <v>0.02</v>
      </c>
    </row>
    <row r="77" spans="1:5">
      <c r="A77" t="s">
        <v>207</v>
      </c>
      <c r="B77">
        <v>4</v>
      </c>
      <c r="C77">
        <v>9</v>
      </c>
      <c r="D77" s="9">
        <v>0</v>
      </c>
      <c r="E77" s="10">
        <v>2.5000000000000001E-2</v>
      </c>
    </row>
    <row r="78" spans="1:5">
      <c r="A78" t="s">
        <v>208</v>
      </c>
      <c r="B78">
        <v>5</v>
      </c>
      <c r="C78">
        <v>9</v>
      </c>
      <c r="D78" s="9">
        <v>0.2</v>
      </c>
      <c r="E78" s="9">
        <v>0.03</v>
      </c>
    </row>
    <row r="79" spans="1:5">
      <c r="A79" t="s">
        <v>209</v>
      </c>
      <c r="B79">
        <v>6</v>
      </c>
      <c r="C79">
        <v>9</v>
      </c>
      <c r="D79" s="9">
        <v>0.3</v>
      </c>
      <c r="E79" s="10">
        <v>3.5000000000000003E-2</v>
      </c>
    </row>
    <row r="80" spans="1:5">
      <c r="A80" t="s">
        <v>210</v>
      </c>
      <c r="B80">
        <v>7</v>
      </c>
      <c r="C80">
        <v>9</v>
      </c>
      <c r="D80" s="9">
        <v>0.4</v>
      </c>
      <c r="E80">
        <v>4</v>
      </c>
    </row>
    <row r="81" spans="1:5">
      <c r="A81" t="s">
        <v>211</v>
      </c>
      <c r="B81">
        <v>8</v>
      </c>
      <c r="C81">
        <v>9</v>
      </c>
      <c r="D81" s="9">
        <v>0.5</v>
      </c>
      <c r="E81" s="10">
        <v>4.4999999999999998E-2</v>
      </c>
    </row>
    <row r="82" spans="1:5">
      <c r="A82" t="s">
        <v>212</v>
      </c>
      <c r="B82">
        <v>9</v>
      </c>
      <c r="C82">
        <v>9</v>
      </c>
      <c r="D82" s="9">
        <v>0.6</v>
      </c>
      <c r="E82">
        <v>5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H47"/>
  <sheetViews>
    <sheetView workbookViewId="0">
      <selection activeCell="F9" sqref="F9"/>
    </sheetView>
  </sheetViews>
  <sheetFormatPr defaultRowHeight="13.5"/>
  <cols>
    <col min="1" max="1" width="4.5" style="7" bestFit="1" customWidth="1"/>
    <col min="2" max="4" width="9.75" style="7" bestFit="1" customWidth="1"/>
    <col min="5" max="5" width="14.125" style="7" bestFit="1" customWidth="1"/>
    <col min="6" max="6" width="20.75" style="7" bestFit="1" customWidth="1"/>
    <col min="7" max="7" width="27.5" style="7" bestFit="1" customWidth="1"/>
    <col min="8" max="16384" width="9" style="7"/>
  </cols>
  <sheetData>
    <row r="1" spans="1:8" s="11" customFormat="1">
      <c r="A1" s="11" t="s">
        <v>213</v>
      </c>
      <c r="B1" s="11" t="s">
        <v>214</v>
      </c>
      <c r="C1" s="11" t="s">
        <v>215</v>
      </c>
      <c r="D1" s="11" t="s">
        <v>216</v>
      </c>
      <c r="E1" s="11" t="s">
        <v>217</v>
      </c>
      <c r="F1" s="11" t="s">
        <v>271</v>
      </c>
      <c r="G1" s="11" t="s">
        <v>272</v>
      </c>
      <c r="H1" s="11" t="s">
        <v>428</v>
      </c>
    </row>
    <row r="2" spans="1:8" s="1" customFormat="1">
      <c r="A2" s="1">
        <v>100</v>
      </c>
      <c r="B2" s="1" t="s">
        <v>218</v>
      </c>
      <c r="C2" s="1" t="s">
        <v>219</v>
      </c>
      <c r="D2" s="1" t="s">
        <v>219</v>
      </c>
      <c r="E2" s="1" t="s">
        <v>220</v>
      </c>
      <c r="F2" s="1" t="s">
        <v>269</v>
      </c>
      <c r="G2" s="1">
        <v>0</v>
      </c>
    </row>
    <row r="3" spans="1:8" s="1" customFormat="1">
      <c r="A3" s="1">
        <v>101</v>
      </c>
      <c r="B3" s="1" t="s">
        <v>427</v>
      </c>
      <c r="C3" s="1">
        <v>1</v>
      </c>
      <c r="D3" s="1" t="s">
        <v>221</v>
      </c>
      <c r="E3" s="1" t="s">
        <v>222</v>
      </c>
      <c r="F3" s="1">
        <f t="shared" ref="F3:F47" si="0">15*(C:C^3+5*C:C)-80</f>
        <v>10</v>
      </c>
      <c r="G3" s="1" t="s">
        <v>270</v>
      </c>
    </row>
    <row r="4" spans="1:8" s="1" customFormat="1">
      <c r="A4" s="1">
        <v>102</v>
      </c>
      <c r="B4" s="1" t="s">
        <v>427</v>
      </c>
      <c r="C4" s="1">
        <v>2</v>
      </c>
      <c r="D4" s="1" t="s">
        <v>221</v>
      </c>
      <c r="E4" s="1" t="s">
        <v>223</v>
      </c>
      <c r="F4" s="1">
        <f t="shared" si="0"/>
        <v>190</v>
      </c>
      <c r="G4" s="1">
        <f t="shared" ref="G4:G7" si="1">(F4-F3)/60</f>
        <v>3</v>
      </c>
    </row>
    <row r="5" spans="1:8" s="1" customFormat="1">
      <c r="A5" s="1">
        <v>103</v>
      </c>
      <c r="B5" s="1" t="s">
        <v>427</v>
      </c>
      <c r="C5" s="1">
        <v>3</v>
      </c>
      <c r="D5" s="1" t="s">
        <v>221</v>
      </c>
      <c r="E5" s="1" t="s">
        <v>224</v>
      </c>
      <c r="F5" s="1">
        <f>15*(C:C^3+5*C:C)-80</f>
        <v>550</v>
      </c>
      <c r="G5" s="1">
        <f t="shared" si="1"/>
        <v>6</v>
      </c>
    </row>
    <row r="6" spans="1:8">
      <c r="A6" s="1">
        <v>104</v>
      </c>
      <c r="B6" s="1" t="s">
        <v>427</v>
      </c>
      <c r="C6" s="1">
        <v>4</v>
      </c>
      <c r="D6" s="1" t="s">
        <v>221</v>
      </c>
      <c r="E6" s="1" t="s">
        <v>225</v>
      </c>
      <c r="F6" s="1">
        <f t="shared" si="0"/>
        <v>1180</v>
      </c>
      <c r="G6" s="1">
        <f t="shared" si="1"/>
        <v>10.5</v>
      </c>
    </row>
    <row r="7" spans="1:8">
      <c r="A7" s="1">
        <v>105</v>
      </c>
      <c r="B7" s="1" t="s">
        <v>427</v>
      </c>
      <c r="C7" s="1">
        <v>5</v>
      </c>
      <c r="D7" s="1" t="s">
        <v>221</v>
      </c>
      <c r="E7" s="1" t="s">
        <v>226</v>
      </c>
      <c r="F7" s="1">
        <f t="shared" si="0"/>
        <v>2170</v>
      </c>
      <c r="G7" s="1">
        <f t="shared" si="1"/>
        <v>16.5</v>
      </c>
    </row>
    <row r="8" spans="1:8">
      <c r="A8" s="1">
        <v>106</v>
      </c>
      <c r="B8" s="1" t="s">
        <v>427</v>
      </c>
      <c r="C8" s="1">
        <v>6</v>
      </c>
      <c r="D8" s="1" t="s">
        <v>221</v>
      </c>
      <c r="E8" s="1" t="s">
        <v>227</v>
      </c>
      <c r="F8" s="1">
        <f t="shared" si="0"/>
        <v>3610</v>
      </c>
      <c r="G8" s="1">
        <f>(F8-F7)/60</f>
        <v>24</v>
      </c>
    </row>
    <row r="9" spans="1:8">
      <c r="A9" s="1">
        <v>107</v>
      </c>
      <c r="B9" s="1" t="s">
        <v>427</v>
      </c>
      <c r="C9" s="1">
        <v>7</v>
      </c>
      <c r="D9" s="1" t="s">
        <v>221</v>
      </c>
      <c r="E9" s="1" t="s">
        <v>228</v>
      </c>
      <c r="F9" s="1">
        <f t="shared" si="0"/>
        <v>5590</v>
      </c>
      <c r="G9" s="1">
        <f t="shared" ref="G9:G47" si="2">(F9-F8)/60</f>
        <v>33</v>
      </c>
    </row>
    <row r="10" spans="1:8">
      <c r="A10" s="1">
        <v>108</v>
      </c>
      <c r="B10" s="1" t="s">
        <v>427</v>
      </c>
      <c r="C10" s="1">
        <v>8</v>
      </c>
      <c r="D10" s="1" t="s">
        <v>221</v>
      </c>
      <c r="E10" s="1" t="s">
        <v>229</v>
      </c>
      <c r="F10" s="1">
        <f t="shared" si="0"/>
        <v>8200</v>
      </c>
      <c r="G10" s="1">
        <f t="shared" si="2"/>
        <v>43.5</v>
      </c>
    </row>
    <row r="11" spans="1:8">
      <c r="A11" s="1">
        <v>109</v>
      </c>
      <c r="B11" s="1" t="s">
        <v>427</v>
      </c>
      <c r="C11" s="1">
        <v>9</v>
      </c>
      <c r="D11" s="1" t="s">
        <v>221</v>
      </c>
      <c r="E11" s="1" t="s">
        <v>230</v>
      </c>
      <c r="F11" s="1">
        <f t="shared" si="0"/>
        <v>11530</v>
      </c>
      <c r="G11" s="1">
        <f t="shared" si="2"/>
        <v>55.5</v>
      </c>
    </row>
    <row r="12" spans="1:8">
      <c r="A12" s="1">
        <v>110</v>
      </c>
      <c r="B12" s="1" t="s">
        <v>427</v>
      </c>
      <c r="C12" s="1">
        <v>10</v>
      </c>
      <c r="D12" s="1" t="s">
        <v>221</v>
      </c>
      <c r="E12" s="1" t="s">
        <v>231</v>
      </c>
      <c r="F12" s="1">
        <f t="shared" si="0"/>
        <v>15670</v>
      </c>
      <c r="G12" s="1">
        <f t="shared" si="2"/>
        <v>69</v>
      </c>
    </row>
    <row r="13" spans="1:8">
      <c r="A13" s="1">
        <v>111</v>
      </c>
      <c r="B13" s="1" t="s">
        <v>427</v>
      </c>
      <c r="C13" s="1">
        <v>11</v>
      </c>
      <c r="D13" s="1" t="s">
        <v>221</v>
      </c>
      <c r="E13" s="1" t="s">
        <v>232</v>
      </c>
      <c r="F13" s="1">
        <f t="shared" si="0"/>
        <v>20710</v>
      </c>
      <c r="G13" s="1">
        <f t="shared" si="2"/>
        <v>84</v>
      </c>
    </row>
    <row r="14" spans="1:8">
      <c r="A14" s="1">
        <v>112</v>
      </c>
      <c r="B14" s="1" t="s">
        <v>427</v>
      </c>
      <c r="C14" s="1">
        <v>12</v>
      </c>
      <c r="D14" s="1" t="s">
        <v>221</v>
      </c>
      <c r="E14" s="1" t="s">
        <v>233</v>
      </c>
      <c r="F14" s="1">
        <f t="shared" si="0"/>
        <v>26740</v>
      </c>
      <c r="G14" s="1">
        <f t="shared" si="2"/>
        <v>100.5</v>
      </c>
    </row>
    <row r="15" spans="1:8">
      <c r="A15" s="1">
        <v>113</v>
      </c>
      <c r="B15" s="1" t="s">
        <v>427</v>
      </c>
      <c r="C15" s="1">
        <v>13</v>
      </c>
      <c r="D15" s="1" t="s">
        <v>221</v>
      </c>
      <c r="E15" s="1" t="s">
        <v>234</v>
      </c>
      <c r="F15" s="1">
        <f t="shared" si="0"/>
        <v>33850</v>
      </c>
      <c r="G15" s="1">
        <f t="shared" si="2"/>
        <v>118.5</v>
      </c>
    </row>
    <row r="16" spans="1:8">
      <c r="A16" s="1">
        <v>114</v>
      </c>
      <c r="B16" s="1" t="s">
        <v>427</v>
      </c>
      <c r="C16" s="1">
        <v>14</v>
      </c>
      <c r="D16" s="1" t="s">
        <v>221</v>
      </c>
      <c r="E16" s="1" t="s">
        <v>235</v>
      </c>
      <c r="F16" s="1">
        <f t="shared" si="0"/>
        <v>42130</v>
      </c>
      <c r="G16" s="1">
        <f t="shared" si="2"/>
        <v>138</v>
      </c>
    </row>
    <row r="17" spans="1:7">
      <c r="A17" s="1">
        <v>115</v>
      </c>
      <c r="B17" s="1" t="s">
        <v>427</v>
      </c>
      <c r="C17" s="1">
        <v>15</v>
      </c>
      <c r="D17" s="1" t="s">
        <v>236</v>
      </c>
      <c r="E17" s="1" t="s">
        <v>237</v>
      </c>
      <c r="F17" s="1">
        <f t="shared" si="0"/>
        <v>51670</v>
      </c>
      <c r="G17" s="1">
        <f t="shared" si="2"/>
        <v>159</v>
      </c>
    </row>
    <row r="18" spans="1:7">
      <c r="A18" s="1">
        <v>116</v>
      </c>
      <c r="B18" s="1" t="s">
        <v>427</v>
      </c>
      <c r="C18" s="1">
        <v>16</v>
      </c>
      <c r="D18" s="1" t="s">
        <v>236</v>
      </c>
      <c r="E18" s="1" t="s">
        <v>238</v>
      </c>
      <c r="F18" s="1">
        <f t="shared" si="0"/>
        <v>62560</v>
      </c>
      <c r="G18" s="1">
        <f t="shared" si="2"/>
        <v>181.5</v>
      </c>
    </row>
    <row r="19" spans="1:7">
      <c r="A19" s="1">
        <v>117</v>
      </c>
      <c r="B19" s="1" t="s">
        <v>427</v>
      </c>
      <c r="C19" s="1">
        <v>17</v>
      </c>
      <c r="D19" s="1" t="s">
        <v>236</v>
      </c>
      <c r="E19" s="1" t="s">
        <v>239</v>
      </c>
      <c r="F19" s="1">
        <f t="shared" si="0"/>
        <v>74890</v>
      </c>
      <c r="G19" s="1">
        <f t="shared" si="2"/>
        <v>205.5</v>
      </c>
    </row>
    <row r="20" spans="1:7">
      <c r="A20" s="1">
        <v>118</v>
      </c>
      <c r="B20" s="1" t="s">
        <v>427</v>
      </c>
      <c r="C20" s="1">
        <v>18</v>
      </c>
      <c r="D20" s="1" t="s">
        <v>236</v>
      </c>
      <c r="E20" s="1" t="s">
        <v>240</v>
      </c>
      <c r="F20" s="1">
        <f t="shared" si="0"/>
        <v>88750</v>
      </c>
      <c r="G20" s="1">
        <f t="shared" si="2"/>
        <v>231</v>
      </c>
    </row>
    <row r="21" spans="1:7">
      <c r="A21" s="1">
        <v>119</v>
      </c>
      <c r="B21" s="1" t="s">
        <v>427</v>
      </c>
      <c r="C21" s="1">
        <v>19</v>
      </c>
      <c r="D21" s="1" t="s">
        <v>236</v>
      </c>
      <c r="E21" s="1" t="s">
        <v>241</v>
      </c>
      <c r="F21" s="1">
        <f t="shared" si="0"/>
        <v>104230</v>
      </c>
      <c r="G21" s="1">
        <f t="shared" si="2"/>
        <v>258</v>
      </c>
    </row>
    <row r="22" spans="1:7">
      <c r="A22" s="1">
        <v>120</v>
      </c>
      <c r="B22" s="1" t="s">
        <v>427</v>
      </c>
      <c r="C22" s="1">
        <v>20</v>
      </c>
      <c r="D22" s="1" t="s">
        <v>236</v>
      </c>
      <c r="E22" s="1" t="s">
        <v>242</v>
      </c>
      <c r="F22" s="1">
        <f t="shared" si="0"/>
        <v>121420</v>
      </c>
      <c r="G22" s="1">
        <f t="shared" si="2"/>
        <v>286.5</v>
      </c>
    </row>
    <row r="23" spans="1:7">
      <c r="A23" s="1">
        <v>121</v>
      </c>
      <c r="B23" s="1" t="s">
        <v>427</v>
      </c>
      <c r="C23" s="1">
        <v>21</v>
      </c>
      <c r="D23" s="1" t="s">
        <v>236</v>
      </c>
      <c r="E23" s="1" t="s">
        <v>243</v>
      </c>
      <c r="F23" s="1">
        <f t="shared" si="0"/>
        <v>140410</v>
      </c>
      <c r="G23" s="1">
        <f t="shared" si="2"/>
        <v>316.5</v>
      </c>
    </row>
    <row r="24" spans="1:7">
      <c r="A24" s="1">
        <v>122</v>
      </c>
      <c r="B24" s="1" t="s">
        <v>427</v>
      </c>
      <c r="C24" s="1">
        <v>22</v>
      </c>
      <c r="D24" s="1" t="s">
        <v>236</v>
      </c>
      <c r="E24" s="1" t="s">
        <v>244</v>
      </c>
      <c r="F24" s="1">
        <f t="shared" si="0"/>
        <v>161290</v>
      </c>
      <c r="G24" s="1">
        <f t="shared" si="2"/>
        <v>348</v>
      </c>
    </row>
    <row r="25" spans="1:7">
      <c r="A25" s="1">
        <v>123</v>
      </c>
      <c r="B25" s="1" t="s">
        <v>427</v>
      </c>
      <c r="C25" s="1">
        <v>23</v>
      </c>
      <c r="D25" s="1" t="s">
        <v>236</v>
      </c>
      <c r="E25" s="1" t="s">
        <v>245</v>
      </c>
      <c r="F25" s="1">
        <f t="shared" si="0"/>
        <v>184150</v>
      </c>
      <c r="G25" s="1">
        <f t="shared" si="2"/>
        <v>381</v>
      </c>
    </row>
    <row r="26" spans="1:7">
      <c r="A26" s="1">
        <v>124</v>
      </c>
      <c r="B26" s="1" t="s">
        <v>427</v>
      </c>
      <c r="C26" s="1">
        <v>24</v>
      </c>
      <c r="D26" s="1" t="s">
        <v>236</v>
      </c>
      <c r="E26" s="1" t="s">
        <v>246</v>
      </c>
      <c r="F26" s="1">
        <f t="shared" si="0"/>
        <v>209080</v>
      </c>
      <c r="G26" s="1">
        <f t="shared" si="2"/>
        <v>415.5</v>
      </c>
    </row>
    <row r="27" spans="1:7">
      <c r="A27" s="1">
        <v>125</v>
      </c>
      <c r="B27" s="1" t="s">
        <v>427</v>
      </c>
      <c r="C27" s="1">
        <v>25</v>
      </c>
      <c r="D27" s="1" t="s">
        <v>236</v>
      </c>
      <c r="E27" s="1" t="s">
        <v>247</v>
      </c>
      <c r="F27" s="1">
        <f t="shared" si="0"/>
        <v>236170</v>
      </c>
      <c r="G27" s="1">
        <f t="shared" si="2"/>
        <v>451.5</v>
      </c>
    </row>
    <row r="28" spans="1:7">
      <c r="A28" s="1">
        <v>126</v>
      </c>
      <c r="B28" s="1" t="s">
        <v>427</v>
      </c>
      <c r="C28" s="1">
        <v>26</v>
      </c>
      <c r="D28" s="1" t="s">
        <v>236</v>
      </c>
      <c r="E28" s="1" t="s">
        <v>248</v>
      </c>
      <c r="F28" s="1">
        <f t="shared" si="0"/>
        <v>265510</v>
      </c>
      <c r="G28" s="1">
        <f t="shared" si="2"/>
        <v>489</v>
      </c>
    </row>
    <row r="29" spans="1:7">
      <c r="A29" s="1">
        <v>127</v>
      </c>
      <c r="B29" s="1" t="s">
        <v>427</v>
      </c>
      <c r="C29" s="1">
        <v>27</v>
      </c>
      <c r="D29" s="1" t="s">
        <v>236</v>
      </c>
      <c r="E29" s="1" t="s">
        <v>249</v>
      </c>
      <c r="F29" s="1">
        <f t="shared" si="0"/>
        <v>297190</v>
      </c>
      <c r="G29" s="1">
        <f t="shared" si="2"/>
        <v>528</v>
      </c>
    </row>
    <row r="30" spans="1:7">
      <c r="A30" s="1">
        <v>128</v>
      </c>
      <c r="B30" s="1" t="s">
        <v>427</v>
      </c>
      <c r="C30" s="1">
        <v>28</v>
      </c>
      <c r="D30" s="1" t="s">
        <v>236</v>
      </c>
      <c r="E30" s="1" t="s">
        <v>250</v>
      </c>
      <c r="F30" s="1">
        <f t="shared" si="0"/>
        <v>331300</v>
      </c>
      <c r="G30" s="1">
        <f t="shared" si="2"/>
        <v>568.5</v>
      </c>
    </row>
    <row r="31" spans="1:7">
      <c r="A31" s="1">
        <v>129</v>
      </c>
      <c r="B31" s="1" t="s">
        <v>427</v>
      </c>
      <c r="C31" s="1">
        <v>29</v>
      </c>
      <c r="D31" s="1" t="s">
        <v>236</v>
      </c>
      <c r="E31" s="1" t="s">
        <v>251</v>
      </c>
      <c r="F31" s="1">
        <f t="shared" si="0"/>
        <v>367930</v>
      </c>
      <c r="G31" s="1">
        <f t="shared" si="2"/>
        <v>610.5</v>
      </c>
    </row>
    <row r="32" spans="1:7">
      <c r="A32" s="1">
        <v>130</v>
      </c>
      <c r="B32" s="1" t="s">
        <v>427</v>
      </c>
      <c r="C32" s="1">
        <v>30</v>
      </c>
      <c r="D32" s="1" t="s">
        <v>252</v>
      </c>
      <c r="E32" s="1" t="s">
        <v>253</v>
      </c>
      <c r="F32" s="1">
        <f t="shared" si="0"/>
        <v>407170</v>
      </c>
      <c r="G32" s="1">
        <f t="shared" si="2"/>
        <v>654</v>
      </c>
    </row>
    <row r="33" spans="1:7">
      <c r="A33" s="1">
        <v>131</v>
      </c>
      <c r="B33" s="1" t="s">
        <v>427</v>
      </c>
      <c r="C33" s="1">
        <v>31</v>
      </c>
      <c r="D33" s="1" t="s">
        <v>252</v>
      </c>
      <c r="E33" s="1" t="s">
        <v>254</v>
      </c>
      <c r="F33" s="1">
        <f t="shared" si="0"/>
        <v>449110</v>
      </c>
      <c r="G33" s="1">
        <f t="shared" si="2"/>
        <v>699</v>
      </c>
    </row>
    <row r="34" spans="1:7">
      <c r="A34" s="1">
        <v>132</v>
      </c>
      <c r="B34" s="1" t="s">
        <v>427</v>
      </c>
      <c r="C34" s="1">
        <v>32</v>
      </c>
      <c r="D34" s="1" t="s">
        <v>252</v>
      </c>
      <c r="E34" s="1" t="s">
        <v>255</v>
      </c>
      <c r="F34" s="1">
        <f t="shared" si="0"/>
        <v>493840</v>
      </c>
      <c r="G34" s="1">
        <f t="shared" si="2"/>
        <v>745.5</v>
      </c>
    </row>
    <row r="35" spans="1:7">
      <c r="A35" s="1">
        <v>133</v>
      </c>
      <c r="B35" s="1" t="s">
        <v>427</v>
      </c>
      <c r="C35" s="1">
        <v>33</v>
      </c>
      <c r="D35" s="1" t="s">
        <v>252</v>
      </c>
      <c r="E35" s="1" t="s">
        <v>256</v>
      </c>
      <c r="F35" s="1">
        <f t="shared" si="0"/>
        <v>541450</v>
      </c>
      <c r="G35" s="1">
        <f t="shared" si="2"/>
        <v>793.5</v>
      </c>
    </row>
    <row r="36" spans="1:7">
      <c r="A36" s="1">
        <v>134</v>
      </c>
      <c r="B36" s="1" t="s">
        <v>427</v>
      </c>
      <c r="C36" s="1">
        <v>34</v>
      </c>
      <c r="D36" s="1" t="s">
        <v>252</v>
      </c>
      <c r="E36" s="1" t="s">
        <v>257</v>
      </c>
      <c r="F36" s="1">
        <f t="shared" si="0"/>
        <v>592030</v>
      </c>
      <c r="G36" s="1">
        <f t="shared" si="2"/>
        <v>843</v>
      </c>
    </row>
    <row r="37" spans="1:7">
      <c r="A37" s="1">
        <v>135</v>
      </c>
      <c r="B37" s="1" t="s">
        <v>427</v>
      </c>
      <c r="C37" s="1">
        <v>35</v>
      </c>
      <c r="D37" s="1" t="s">
        <v>252</v>
      </c>
      <c r="E37" s="1" t="s">
        <v>258</v>
      </c>
      <c r="F37" s="1">
        <f t="shared" si="0"/>
        <v>645670</v>
      </c>
      <c r="G37" s="1">
        <f t="shared" si="2"/>
        <v>894</v>
      </c>
    </row>
    <row r="38" spans="1:7">
      <c r="A38" s="1">
        <v>136</v>
      </c>
      <c r="B38" s="1" t="s">
        <v>427</v>
      </c>
      <c r="C38" s="1">
        <v>36</v>
      </c>
      <c r="D38" s="1" t="s">
        <v>252</v>
      </c>
      <c r="E38" s="1" t="s">
        <v>259</v>
      </c>
      <c r="F38" s="1">
        <f t="shared" si="0"/>
        <v>702460</v>
      </c>
      <c r="G38" s="1">
        <f t="shared" si="2"/>
        <v>946.5</v>
      </c>
    </row>
    <row r="39" spans="1:7">
      <c r="A39" s="1">
        <v>137</v>
      </c>
      <c r="B39" s="1" t="s">
        <v>427</v>
      </c>
      <c r="C39" s="1">
        <v>37</v>
      </c>
      <c r="D39" s="1" t="s">
        <v>252</v>
      </c>
      <c r="E39" s="1" t="s">
        <v>260</v>
      </c>
      <c r="F39" s="1">
        <f t="shared" si="0"/>
        <v>762490</v>
      </c>
      <c r="G39" s="1">
        <f t="shared" si="2"/>
        <v>1000.5</v>
      </c>
    </row>
    <row r="40" spans="1:7">
      <c r="A40" s="1">
        <v>138</v>
      </c>
      <c r="B40" s="1" t="s">
        <v>427</v>
      </c>
      <c r="C40" s="1">
        <v>38</v>
      </c>
      <c r="D40" s="1" t="s">
        <v>252</v>
      </c>
      <c r="E40" s="1" t="s">
        <v>261</v>
      </c>
      <c r="F40" s="1">
        <f t="shared" si="0"/>
        <v>825850</v>
      </c>
      <c r="G40" s="1">
        <f t="shared" si="2"/>
        <v>1056</v>
      </c>
    </row>
    <row r="41" spans="1:7">
      <c r="A41" s="1">
        <v>139</v>
      </c>
      <c r="B41" s="1" t="s">
        <v>427</v>
      </c>
      <c r="C41" s="1">
        <v>39</v>
      </c>
      <c r="D41" s="1" t="s">
        <v>252</v>
      </c>
      <c r="E41" s="1" t="s">
        <v>262</v>
      </c>
      <c r="F41" s="1">
        <f t="shared" si="0"/>
        <v>892630</v>
      </c>
      <c r="G41" s="1">
        <f t="shared" si="2"/>
        <v>1113</v>
      </c>
    </row>
    <row r="42" spans="1:7">
      <c r="A42" s="1">
        <v>140</v>
      </c>
      <c r="B42" s="1" t="s">
        <v>427</v>
      </c>
      <c r="C42" s="1">
        <v>40</v>
      </c>
      <c r="D42" s="1" t="s">
        <v>252</v>
      </c>
      <c r="E42" s="1" t="s">
        <v>263</v>
      </c>
      <c r="F42" s="1">
        <f t="shared" si="0"/>
        <v>962920</v>
      </c>
      <c r="G42" s="1">
        <f t="shared" si="2"/>
        <v>1171.5</v>
      </c>
    </row>
    <row r="43" spans="1:7">
      <c r="A43" s="1">
        <v>141</v>
      </c>
      <c r="B43" s="1" t="s">
        <v>427</v>
      </c>
      <c r="C43" s="1">
        <v>41</v>
      </c>
      <c r="D43" s="1" t="s">
        <v>252</v>
      </c>
      <c r="E43" s="1" t="s">
        <v>264</v>
      </c>
      <c r="F43" s="1">
        <f t="shared" si="0"/>
        <v>1036810</v>
      </c>
      <c r="G43" s="1">
        <f t="shared" si="2"/>
        <v>1231.5</v>
      </c>
    </row>
    <row r="44" spans="1:7">
      <c r="A44" s="1">
        <v>142</v>
      </c>
      <c r="B44" s="1" t="s">
        <v>427</v>
      </c>
      <c r="C44" s="1">
        <v>42</v>
      </c>
      <c r="D44" s="1" t="s">
        <v>252</v>
      </c>
      <c r="E44" s="1" t="s">
        <v>265</v>
      </c>
      <c r="F44" s="1">
        <f t="shared" si="0"/>
        <v>1114390</v>
      </c>
      <c r="G44" s="1">
        <f t="shared" si="2"/>
        <v>1293</v>
      </c>
    </row>
    <row r="45" spans="1:7">
      <c r="A45" s="1">
        <v>143</v>
      </c>
      <c r="B45" s="1" t="s">
        <v>427</v>
      </c>
      <c r="C45" s="1">
        <v>43</v>
      </c>
      <c r="D45" s="1" t="s">
        <v>252</v>
      </c>
      <c r="E45" s="1" t="s">
        <v>266</v>
      </c>
      <c r="F45" s="1">
        <f t="shared" si="0"/>
        <v>1195750</v>
      </c>
      <c r="G45" s="1">
        <f t="shared" si="2"/>
        <v>1356</v>
      </c>
    </row>
    <row r="46" spans="1:7">
      <c r="A46" s="1">
        <v>144</v>
      </c>
      <c r="B46" s="1" t="s">
        <v>427</v>
      </c>
      <c r="C46" s="1">
        <v>44</v>
      </c>
      <c r="D46" s="1" t="s">
        <v>252</v>
      </c>
      <c r="E46" s="1" t="s">
        <v>267</v>
      </c>
      <c r="F46" s="1">
        <f t="shared" si="0"/>
        <v>1280980</v>
      </c>
      <c r="G46" s="1">
        <f t="shared" si="2"/>
        <v>1420.5</v>
      </c>
    </row>
    <row r="47" spans="1:7">
      <c r="A47" s="1">
        <v>145</v>
      </c>
      <c r="B47" s="1" t="s">
        <v>427</v>
      </c>
      <c r="C47" s="1">
        <v>45</v>
      </c>
      <c r="D47" s="1" t="s">
        <v>252</v>
      </c>
      <c r="E47" s="1" t="s">
        <v>268</v>
      </c>
      <c r="F47" s="1">
        <f t="shared" si="0"/>
        <v>1370170</v>
      </c>
      <c r="G47" s="1">
        <f t="shared" si="2"/>
        <v>1486.5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AM106"/>
  <sheetViews>
    <sheetView tabSelected="1" topLeftCell="N1" zoomScaleNormal="100" workbookViewId="0">
      <selection activeCell="W16" sqref="W16"/>
    </sheetView>
  </sheetViews>
  <sheetFormatPr defaultRowHeight="13.5"/>
  <cols>
    <col min="1" max="1" width="8.125" style="39" bestFit="1" customWidth="1"/>
    <col min="2" max="3" width="25" customWidth="1"/>
    <col min="4" max="5" width="27.625" customWidth="1"/>
    <col min="6" max="6" width="7.375" style="4" customWidth="1"/>
    <col min="7" max="7" width="8.875" style="4" customWidth="1"/>
    <col min="8" max="8" width="9.25" customWidth="1"/>
    <col min="9" max="9" width="16.875" customWidth="1"/>
    <col min="10" max="10" width="15" customWidth="1"/>
    <col min="11" max="11" width="13.875" customWidth="1"/>
    <col min="12" max="12" width="13.625" customWidth="1"/>
    <col min="13" max="13" width="13.25" customWidth="1"/>
    <col min="14" max="14" width="15.5" customWidth="1"/>
    <col min="15" max="15" width="13.25" customWidth="1"/>
    <col min="16" max="16" width="12" customWidth="1"/>
    <col min="17" max="17" width="16.75" customWidth="1"/>
    <col min="18" max="18" width="12" customWidth="1"/>
    <col min="19" max="20" width="13.5" customWidth="1"/>
    <col min="21" max="21" width="10.75" customWidth="1"/>
    <col min="22" max="24" width="13" customWidth="1"/>
    <col min="25" max="26" width="13.75" customWidth="1"/>
    <col min="27" max="29" width="19.25" bestFit="1" customWidth="1"/>
    <col min="30" max="30" width="19.25" customWidth="1"/>
    <col min="31" max="33" width="14.625" bestFit="1" customWidth="1"/>
    <col min="34" max="34" width="10" bestFit="1" customWidth="1"/>
    <col min="35" max="35" width="8" bestFit="1" customWidth="1"/>
    <col min="36" max="36" width="10" bestFit="1" customWidth="1"/>
  </cols>
  <sheetData>
    <row r="1" spans="1:39" s="11" customFormat="1">
      <c r="A1" s="38" t="s">
        <v>384</v>
      </c>
      <c r="B1" s="11" t="s">
        <v>22</v>
      </c>
      <c r="C1" s="48" t="s">
        <v>737</v>
      </c>
      <c r="D1" s="48" t="s">
        <v>739</v>
      </c>
      <c r="E1" s="48" t="s">
        <v>738</v>
      </c>
      <c r="F1" s="49" t="s">
        <v>385</v>
      </c>
      <c r="G1" s="12" t="s">
        <v>389</v>
      </c>
      <c r="H1" s="11" t="s">
        <v>1</v>
      </c>
      <c r="I1" s="11" t="s">
        <v>386</v>
      </c>
      <c r="J1" s="11" t="s">
        <v>387</v>
      </c>
      <c r="K1" s="11" t="s">
        <v>388</v>
      </c>
      <c r="L1" s="11" t="s">
        <v>691</v>
      </c>
      <c r="M1" s="11" t="s">
        <v>692</v>
      </c>
      <c r="N1" s="11" t="s">
        <v>756</v>
      </c>
      <c r="O1" s="11" t="s">
        <v>693</v>
      </c>
      <c r="P1" s="11" t="s">
        <v>694</v>
      </c>
      <c r="Q1" s="11" t="s">
        <v>753</v>
      </c>
      <c r="R1" s="11" t="s">
        <v>696</v>
      </c>
      <c r="S1" s="11" t="s">
        <v>695</v>
      </c>
      <c r="T1" s="11" t="s">
        <v>755</v>
      </c>
      <c r="U1" s="11" t="s">
        <v>754</v>
      </c>
      <c r="V1" s="11" t="s">
        <v>697</v>
      </c>
      <c r="W1" s="11" t="s">
        <v>757</v>
      </c>
      <c r="X1" s="11" t="s">
        <v>698</v>
      </c>
      <c r="Y1" s="11" t="s">
        <v>699</v>
      </c>
      <c r="Z1" s="11" t="s">
        <v>758</v>
      </c>
      <c r="AA1" s="11" t="s">
        <v>396</v>
      </c>
      <c r="AB1" s="11" t="s">
        <v>394</v>
      </c>
      <c r="AC1" s="11" t="s">
        <v>395</v>
      </c>
      <c r="AE1" s="11" t="s">
        <v>365</v>
      </c>
      <c r="AF1" s="11" t="s">
        <v>366</v>
      </c>
      <c r="AG1" s="11" t="s">
        <v>391</v>
      </c>
      <c r="AH1" s="11" t="s">
        <v>392</v>
      </c>
      <c r="AI1" s="11" t="s">
        <v>363</v>
      </c>
      <c r="AJ1" s="11" t="s">
        <v>393</v>
      </c>
      <c r="AK1" s="11" t="s">
        <v>397</v>
      </c>
      <c r="AM1" s="11" t="s">
        <v>701</v>
      </c>
    </row>
    <row r="2" spans="1:39">
      <c r="B2" s="30" t="s">
        <v>669</v>
      </c>
      <c r="C2" s="47">
        <f>C14*70%</f>
        <v>7</v>
      </c>
      <c r="D2" s="54">
        <v>5</v>
      </c>
      <c r="E2" s="47">
        <f>E18*80%</f>
        <v>20</v>
      </c>
      <c r="F2" s="50"/>
      <c r="G2" s="31"/>
      <c r="H2" s="32">
        <v>1</v>
      </c>
      <c r="I2" s="32">
        <v>9</v>
      </c>
      <c r="J2" s="32"/>
      <c r="K2" s="32"/>
      <c r="L2" s="32">
        <v>10</v>
      </c>
      <c r="M2" s="32">
        <f>L2+$J40*((9+3)/3)^2</f>
        <v>42</v>
      </c>
      <c r="N2" s="57">
        <f>5+$J40*(($S$46+3)/3)^2</f>
        <v>31.888888888888886</v>
      </c>
      <c r="O2" s="32"/>
      <c r="P2" s="32"/>
      <c r="Q2" s="57"/>
      <c r="R2" s="32"/>
      <c r="S2" s="32"/>
      <c r="T2" s="57"/>
      <c r="U2" s="32"/>
      <c r="V2" s="32"/>
      <c r="W2" s="57"/>
      <c r="X2" s="32">
        <v>12</v>
      </c>
      <c r="Y2" s="32">
        <f>X2+$K40*((9+3)/3)^2</f>
        <v>44</v>
      </c>
      <c r="Z2" s="62">
        <f>X2+$K40*(($S$46+3)/3)^2</f>
        <v>38.888888888888886</v>
      </c>
      <c r="AA2" s="32"/>
      <c r="AB2" s="32"/>
      <c r="AC2" s="32"/>
      <c r="AD2" s="32"/>
      <c r="AM2">
        <v>1</v>
      </c>
    </row>
    <row r="3" spans="1:39">
      <c r="B3" s="30" t="s">
        <v>670</v>
      </c>
      <c r="C3" s="47">
        <f t="shared" ref="C3:C5" si="0">C15*70%</f>
        <v>28</v>
      </c>
      <c r="D3" s="54">
        <v>30</v>
      </c>
      <c r="E3" s="47">
        <f t="shared" ref="E3:E5" si="1">E19*80%</f>
        <v>77.600000000000009</v>
      </c>
      <c r="F3" s="50"/>
      <c r="G3" s="31"/>
      <c r="H3" s="32">
        <v>1</v>
      </c>
      <c r="I3" s="32">
        <v>9</v>
      </c>
      <c r="J3" s="32"/>
      <c r="K3" s="32"/>
      <c r="L3" s="32">
        <f>L2+$J41*((1+3)/3)^2</f>
        <v>17.111111111111111</v>
      </c>
      <c r="M3" s="32">
        <f>L2+$J41*((9+3)/3)^2</f>
        <v>74</v>
      </c>
      <c r="N3" s="57">
        <f>5+$J41*(($S$46+3)/3)^2</f>
        <v>58.777777777777771</v>
      </c>
      <c r="O3" s="32"/>
      <c r="P3" s="32"/>
      <c r="Q3" s="57"/>
      <c r="R3" s="32"/>
      <c r="S3" s="32"/>
      <c r="T3" s="57"/>
      <c r="U3" s="32"/>
      <c r="V3" s="32"/>
      <c r="W3" s="57"/>
      <c r="X3" s="32">
        <f>X2+$K41*((1+3)/3)^2</f>
        <v>19.111111111111111</v>
      </c>
      <c r="Y3" s="32">
        <f>X2+$K41*((9+3)/3)^2</f>
        <v>76</v>
      </c>
      <c r="Z3" s="62">
        <f>X3+$K41*(($S$46+3)/3)^2</f>
        <v>72.888888888888886</v>
      </c>
      <c r="AA3" s="32"/>
      <c r="AB3" s="32"/>
      <c r="AC3" s="32"/>
      <c r="AD3" s="32"/>
      <c r="AM3">
        <v>2</v>
      </c>
    </row>
    <row r="4" spans="1:39">
      <c r="B4" s="30" t="s">
        <v>623</v>
      </c>
      <c r="C4" s="47">
        <f t="shared" si="0"/>
        <v>62.999999999999993</v>
      </c>
      <c r="D4" s="54">
        <v>66</v>
      </c>
      <c r="E4" s="47">
        <f t="shared" si="1"/>
        <v>128</v>
      </c>
      <c r="F4" s="50"/>
      <c r="G4" s="31"/>
      <c r="H4" s="32">
        <v>1</v>
      </c>
      <c r="I4" s="32">
        <v>9</v>
      </c>
      <c r="J4" s="32"/>
      <c r="K4" s="32"/>
      <c r="L4" s="32">
        <f>L3+$J42*((1+3)/3)^2</f>
        <v>27.777777777777779</v>
      </c>
      <c r="M4" s="32">
        <f>L3+$J42*((9+3)/3)^2</f>
        <v>113.11111111111111</v>
      </c>
      <c r="N4" s="57">
        <f t="shared" ref="N4:N5" si="2">5+$J42*(($S$46+3)/3)^2</f>
        <v>85.666666666666657</v>
      </c>
      <c r="O4" s="32"/>
      <c r="P4" s="32"/>
      <c r="Q4" s="57"/>
      <c r="R4" s="32"/>
      <c r="S4" s="32"/>
      <c r="T4" s="57"/>
      <c r="U4" s="32"/>
      <c r="V4" s="32"/>
      <c r="W4" s="57"/>
      <c r="X4" s="32">
        <f>X3+$K42*((1+3)/3)^2</f>
        <v>29.777777777777779</v>
      </c>
      <c r="Y4" s="32">
        <f>X3+$K42*((9+3)/3)^2</f>
        <v>115.11111111111111</v>
      </c>
      <c r="Z4" s="62">
        <f>X4+$K42*(($S$46+3)/3)^2</f>
        <v>110.44444444444443</v>
      </c>
      <c r="AA4" s="32"/>
      <c r="AB4" s="32"/>
      <c r="AC4" s="32"/>
      <c r="AD4" s="32"/>
      <c r="AM4">
        <v>3</v>
      </c>
    </row>
    <row r="5" spans="1:39">
      <c r="B5" s="30" t="s">
        <v>686</v>
      </c>
      <c r="C5" s="47">
        <f t="shared" si="0"/>
        <v>105</v>
      </c>
      <c r="D5" s="54">
        <v>114</v>
      </c>
      <c r="E5" s="47">
        <f t="shared" si="1"/>
        <v>234.4</v>
      </c>
      <c r="F5" s="50"/>
      <c r="G5" s="31"/>
      <c r="H5" s="32">
        <v>1</v>
      </c>
      <c r="I5" s="32">
        <v>9</v>
      </c>
      <c r="J5" s="32"/>
      <c r="K5" s="32"/>
      <c r="L5" s="32">
        <f>L4+$J43*((1+3)/3)^2</f>
        <v>43.777777777777779</v>
      </c>
      <c r="M5" s="32">
        <f>L4+$J43*((9+3)/3)^2</f>
        <v>171.77777777777777</v>
      </c>
      <c r="N5" s="57">
        <f t="shared" si="2"/>
        <v>125.99999999999999</v>
      </c>
      <c r="O5" s="32"/>
      <c r="P5" s="32"/>
      <c r="Q5" s="57"/>
      <c r="R5" s="32"/>
      <c r="S5" s="32"/>
      <c r="T5" s="57"/>
      <c r="U5" s="32"/>
      <c r="V5" s="32"/>
      <c r="W5" s="57"/>
      <c r="X5" s="32">
        <f>X4+$K43*((1+3)/3)^2</f>
        <v>45.777777777777779</v>
      </c>
      <c r="Y5" s="32">
        <f>X4+$K43*((9+3)/3)^2</f>
        <v>173.77777777777777</v>
      </c>
      <c r="Z5" s="62">
        <f>X5+$K43*(($S$46+3)/3)^2</f>
        <v>166.77777777777777</v>
      </c>
      <c r="AA5" s="32"/>
      <c r="AB5" s="32"/>
      <c r="AC5" s="32"/>
      <c r="AD5" s="32"/>
      <c r="AM5">
        <v>4</v>
      </c>
    </row>
    <row r="6" spans="1:39">
      <c r="B6" s="27" t="s">
        <v>671</v>
      </c>
      <c r="C6" s="51">
        <f>C14*80%</f>
        <v>8</v>
      </c>
      <c r="D6" s="51">
        <f>D2*80%</f>
        <v>4</v>
      </c>
      <c r="E6" s="51">
        <f>E2*70%</f>
        <v>14</v>
      </c>
      <c r="F6" s="52"/>
      <c r="G6" s="28"/>
      <c r="H6" s="29">
        <v>1</v>
      </c>
      <c r="I6" s="29">
        <v>9</v>
      </c>
      <c r="J6" s="29"/>
      <c r="K6" s="29"/>
      <c r="L6" s="29"/>
      <c r="M6" s="29"/>
      <c r="N6" s="57"/>
      <c r="O6" s="29"/>
      <c r="P6" s="29"/>
      <c r="Q6" s="57"/>
      <c r="R6" s="29">
        <v>2</v>
      </c>
      <c r="S6" s="29">
        <f>R6+$M40*((9+3)/3)^2</f>
        <v>34</v>
      </c>
      <c r="T6" s="57">
        <f>R6+$M40*(($S$46+3)/3)^2</f>
        <v>28.888888888888886</v>
      </c>
      <c r="U6" s="29"/>
      <c r="V6" s="29"/>
      <c r="W6" s="57"/>
      <c r="X6" s="29"/>
      <c r="Y6" s="29"/>
      <c r="Z6" s="62"/>
      <c r="AA6" s="29"/>
      <c r="AB6" s="29"/>
      <c r="AC6" s="29"/>
      <c r="AD6" s="29"/>
      <c r="AM6">
        <v>5</v>
      </c>
    </row>
    <row r="7" spans="1:39">
      <c r="B7" s="27" t="s">
        <v>672</v>
      </c>
      <c r="C7" s="51">
        <f t="shared" ref="C7:C9" si="3">C15*80%</f>
        <v>32</v>
      </c>
      <c r="D7" s="51">
        <f t="shared" ref="D7:D9" si="4">D3*80%</f>
        <v>24</v>
      </c>
      <c r="E7" s="51">
        <f t="shared" ref="E7:E9" si="5">E3*70%</f>
        <v>54.32</v>
      </c>
      <c r="F7" s="28"/>
      <c r="G7" s="28"/>
      <c r="H7" s="29">
        <v>1</v>
      </c>
      <c r="I7" s="29">
        <v>9</v>
      </c>
      <c r="J7" s="29"/>
      <c r="K7" s="29"/>
      <c r="L7" s="29"/>
      <c r="M7" s="29"/>
      <c r="N7" s="57"/>
      <c r="O7" s="29"/>
      <c r="P7" s="29"/>
      <c r="Q7" s="57"/>
      <c r="R7" s="29">
        <f>R6+$M41*((1+3)/3)^2</f>
        <v>7.333333333333333</v>
      </c>
      <c r="S7" s="29">
        <f>R6+$M41*((9+3)/3)^2</f>
        <v>50</v>
      </c>
      <c r="T7" s="57">
        <f>R7+$M41*(($S$46+3)/3)^2</f>
        <v>47.666666666666664</v>
      </c>
      <c r="U7" s="29"/>
      <c r="V7" s="29"/>
      <c r="W7" s="57"/>
      <c r="X7" s="29"/>
      <c r="Y7" s="29"/>
      <c r="Z7" s="62"/>
      <c r="AA7" s="29"/>
      <c r="AB7" s="29"/>
      <c r="AC7" s="29"/>
      <c r="AD7" s="29"/>
      <c r="AM7">
        <v>6</v>
      </c>
    </row>
    <row r="8" spans="1:39">
      <c r="B8" s="27" t="s">
        <v>673</v>
      </c>
      <c r="C8" s="51">
        <f t="shared" si="3"/>
        <v>72</v>
      </c>
      <c r="D8" s="51">
        <f t="shared" si="4"/>
        <v>52.800000000000004</v>
      </c>
      <c r="E8" s="51">
        <f t="shared" si="5"/>
        <v>89.6</v>
      </c>
      <c r="F8" s="28"/>
      <c r="G8" s="28"/>
      <c r="H8" s="29">
        <v>1</v>
      </c>
      <c r="I8" s="29">
        <v>9</v>
      </c>
      <c r="J8" s="29"/>
      <c r="K8" s="29"/>
      <c r="L8" s="29"/>
      <c r="M8" s="29"/>
      <c r="N8" s="57"/>
      <c r="O8" s="29"/>
      <c r="P8" s="29"/>
      <c r="Q8" s="57"/>
      <c r="R8" s="29">
        <f>R7+$M42*((1+3)/3)^2</f>
        <v>14.444444444444443</v>
      </c>
      <c r="S8" s="29">
        <f>R7+$M42*((9+3)/3)^2</f>
        <v>71.333333333333329</v>
      </c>
      <c r="T8" s="57">
        <f>R8+$M42*(($S$46+3)/3)^2</f>
        <v>68.222222222222214</v>
      </c>
      <c r="U8" s="29"/>
      <c r="V8" s="29"/>
      <c r="W8" s="57"/>
      <c r="X8" s="29"/>
      <c r="Y8" s="29"/>
      <c r="Z8" s="62"/>
      <c r="AA8" s="29"/>
      <c r="AB8" s="29"/>
      <c r="AC8" s="29"/>
      <c r="AD8" s="29"/>
      <c r="AM8">
        <v>7</v>
      </c>
    </row>
    <row r="9" spans="1:39">
      <c r="B9" s="27" t="s">
        <v>674</v>
      </c>
      <c r="C9" s="51">
        <f t="shared" si="3"/>
        <v>120</v>
      </c>
      <c r="D9" s="51">
        <f t="shared" si="4"/>
        <v>91.2</v>
      </c>
      <c r="E9" s="51">
        <f t="shared" si="5"/>
        <v>164.07999999999998</v>
      </c>
      <c r="F9" s="28"/>
      <c r="G9" s="28"/>
      <c r="H9" s="29">
        <v>1</v>
      </c>
      <c r="I9" s="29">
        <v>9</v>
      </c>
      <c r="J9" s="29"/>
      <c r="K9" s="29"/>
      <c r="L9" s="29"/>
      <c r="M9" s="29"/>
      <c r="N9" s="57"/>
      <c r="O9" s="29"/>
      <c r="P9" s="29"/>
      <c r="Q9" s="57"/>
      <c r="R9" s="29">
        <f>R8+$M43*((1+3)/3)^2</f>
        <v>26.888888888888886</v>
      </c>
      <c r="S9" s="29">
        <f>R8+$M43*((9+3)/3)^2</f>
        <v>126.44444444444444</v>
      </c>
      <c r="T9" s="57">
        <f>R9+$M43*(($S$46+3)/3)^2</f>
        <v>120.99999999999999</v>
      </c>
      <c r="U9" s="29"/>
      <c r="V9" s="29"/>
      <c r="W9" s="57"/>
      <c r="X9" s="29"/>
      <c r="Y9" s="29"/>
      <c r="Z9" s="62"/>
      <c r="AA9" s="29"/>
      <c r="AB9" s="29"/>
      <c r="AC9" s="29"/>
      <c r="AD9" s="29"/>
      <c r="AM9">
        <v>8</v>
      </c>
    </row>
    <row r="10" spans="1:39">
      <c r="B10" s="24" t="s">
        <v>675</v>
      </c>
      <c r="C10" s="24">
        <f>C14*90%</f>
        <v>9</v>
      </c>
      <c r="D10" s="24">
        <f>D2*90%</f>
        <v>4.5</v>
      </c>
      <c r="E10" s="24">
        <f>E2*80%</f>
        <v>16</v>
      </c>
      <c r="F10" s="24"/>
      <c r="G10" s="24"/>
      <c r="H10" s="24">
        <v>1</v>
      </c>
      <c r="I10" s="24">
        <v>9</v>
      </c>
      <c r="J10" s="24"/>
      <c r="K10" s="24"/>
      <c r="L10" s="24"/>
      <c r="M10" s="24"/>
      <c r="N10" s="60"/>
      <c r="O10" s="24"/>
      <c r="P10" s="24"/>
      <c r="Q10" s="60"/>
      <c r="R10" s="24"/>
      <c r="S10" s="24"/>
      <c r="T10" s="60"/>
      <c r="U10" s="24">
        <v>10</v>
      </c>
      <c r="V10" s="24">
        <f>U10+$P40*((9+3)/3)^2</f>
        <v>34</v>
      </c>
      <c r="W10" s="60">
        <f>U10+$P40*(($S$46+3)/3)^2</f>
        <v>30.166666666666664</v>
      </c>
      <c r="X10" s="24"/>
      <c r="Y10" s="24"/>
      <c r="Z10" s="62"/>
      <c r="AA10" s="24"/>
      <c r="AB10" s="24"/>
      <c r="AC10" s="24"/>
      <c r="AD10" s="24"/>
      <c r="AM10">
        <v>9</v>
      </c>
    </row>
    <row r="11" spans="1:39">
      <c r="B11" s="24" t="s">
        <v>679</v>
      </c>
      <c r="C11" s="24">
        <f t="shared" ref="C11:C13" si="6">C15*90%</f>
        <v>36</v>
      </c>
      <c r="D11" s="24">
        <f t="shared" ref="D11:D13" si="7">D3*90%</f>
        <v>27</v>
      </c>
      <c r="E11" s="24">
        <f t="shared" ref="E11:E13" si="8">E3*80%</f>
        <v>62.080000000000013</v>
      </c>
      <c r="F11" s="24"/>
      <c r="G11" s="24"/>
      <c r="H11" s="24">
        <v>1</v>
      </c>
      <c r="I11" s="24">
        <v>9</v>
      </c>
      <c r="J11" s="24"/>
      <c r="K11" s="24"/>
      <c r="L11" s="24"/>
      <c r="M11" s="24"/>
      <c r="N11" s="60"/>
      <c r="O11" s="24"/>
      <c r="P11" s="24"/>
      <c r="Q11" s="60"/>
      <c r="R11" s="24"/>
      <c r="S11" s="24"/>
      <c r="T11" s="60"/>
      <c r="U11" s="24">
        <f>U10+$P41*((1+3)/3)^2</f>
        <v>15.333333333333332</v>
      </c>
      <c r="V11" s="24">
        <f>U10+$P41*((9+3)/3)^2</f>
        <v>58</v>
      </c>
      <c r="W11" s="60">
        <f>U11+$P41*(($S$46+3)/3)^2</f>
        <v>55.666666666666657</v>
      </c>
      <c r="X11" s="24"/>
      <c r="Y11" s="24"/>
      <c r="Z11" s="62"/>
      <c r="AA11" s="24"/>
      <c r="AB11" s="24"/>
      <c r="AC11" s="24"/>
      <c r="AD11" s="24"/>
    </row>
    <row r="12" spans="1:39">
      <c r="B12" s="24" t="s">
        <v>690</v>
      </c>
      <c r="C12" s="24">
        <f t="shared" si="6"/>
        <v>81</v>
      </c>
      <c r="D12" s="24">
        <f t="shared" si="7"/>
        <v>59.4</v>
      </c>
      <c r="E12" s="24">
        <f t="shared" si="8"/>
        <v>102.4</v>
      </c>
      <c r="F12" s="24"/>
      <c r="G12" s="24"/>
      <c r="H12" s="24">
        <v>1</v>
      </c>
      <c r="I12" s="24">
        <v>9</v>
      </c>
      <c r="J12" s="24"/>
      <c r="K12" s="24"/>
      <c r="L12" s="24"/>
      <c r="M12" s="24"/>
      <c r="N12" s="60"/>
      <c r="O12" s="24"/>
      <c r="P12" s="24"/>
      <c r="Q12" s="60"/>
      <c r="R12" s="24"/>
      <c r="S12" s="24"/>
      <c r="T12" s="60"/>
      <c r="U12" s="24">
        <f>U11+$P42*((1+3)/3)^2</f>
        <v>23.333333333333332</v>
      </c>
      <c r="V12" s="24">
        <f>U11+$P42*((9+3)/3)^2</f>
        <v>87.333333333333329</v>
      </c>
      <c r="W12" s="60">
        <f>U12+$P42*(($S$46+3)/3)^2</f>
        <v>83.833333333333329</v>
      </c>
      <c r="X12" s="24"/>
      <c r="Y12" s="24"/>
      <c r="Z12" s="62"/>
      <c r="AA12" s="24"/>
      <c r="AB12" s="24"/>
      <c r="AC12" s="24"/>
      <c r="AD12" s="24"/>
    </row>
    <row r="13" spans="1:39">
      <c r="B13" s="24" t="s">
        <v>689</v>
      </c>
      <c r="C13" s="24">
        <f t="shared" si="6"/>
        <v>135</v>
      </c>
      <c r="D13" s="24">
        <f t="shared" si="7"/>
        <v>102.60000000000001</v>
      </c>
      <c r="E13" s="24">
        <f t="shared" si="8"/>
        <v>187.52</v>
      </c>
      <c r="F13" s="24"/>
      <c r="G13" s="24"/>
      <c r="H13" s="24">
        <v>1</v>
      </c>
      <c r="I13" s="24">
        <v>9</v>
      </c>
      <c r="J13" s="24"/>
      <c r="K13" s="24"/>
      <c r="L13" s="24"/>
      <c r="M13" s="24"/>
      <c r="N13" s="60"/>
      <c r="O13" s="24"/>
      <c r="P13" s="24"/>
      <c r="Q13" s="60"/>
      <c r="R13" s="24"/>
      <c r="S13" s="24"/>
      <c r="T13" s="60"/>
      <c r="U13" s="24">
        <f>U12+$P43*((1+3)/3)^2</f>
        <v>35.777777777777771</v>
      </c>
      <c r="V13" s="24">
        <f>U12+$P43*((9+3)/3)^2</f>
        <v>135.33333333333334</v>
      </c>
      <c r="W13" s="60">
        <f>U13+$P43*(($S$46+3)/3)^2</f>
        <v>129.88888888888886</v>
      </c>
      <c r="X13" s="24"/>
      <c r="Y13" s="24"/>
      <c r="Z13" s="62"/>
      <c r="AA13" s="24"/>
      <c r="AB13" s="24"/>
      <c r="AC13" s="24"/>
      <c r="AD13" s="24"/>
    </row>
    <row r="14" spans="1:39">
      <c r="B14" s="23" t="s">
        <v>676</v>
      </c>
      <c r="C14" s="53">
        <v>10</v>
      </c>
      <c r="D14" s="23">
        <f>D2*70%</f>
        <v>3.5</v>
      </c>
      <c r="E14" s="23">
        <f>E2*75%</f>
        <v>15</v>
      </c>
      <c r="F14" s="23"/>
      <c r="G14" s="23"/>
      <c r="H14" s="23">
        <v>1</v>
      </c>
      <c r="I14" s="23">
        <v>9</v>
      </c>
      <c r="J14" s="23"/>
      <c r="K14" s="23"/>
      <c r="L14" s="23"/>
      <c r="M14" s="23"/>
      <c r="N14" s="60"/>
      <c r="O14" s="23"/>
      <c r="P14" s="23"/>
      <c r="Q14" s="60"/>
      <c r="R14" s="23"/>
      <c r="S14" s="23"/>
      <c r="T14" s="60"/>
      <c r="U14" s="23">
        <v>5</v>
      </c>
      <c r="V14" s="23">
        <f>U14+$U40*((9+3)/3)^2</f>
        <v>85</v>
      </c>
      <c r="W14" s="60">
        <f>U14+$U40*(($S$46+3)/3)^2</f>
        <v>72.222222222222214</v>
      </c>
      <c r="X14" s="23"/>
      <c r="Y14" s="23"/>
      <c r="Z14" s="62"/>
      <c r="AA14" s="23"/>
      <c r="AB14" s="23"/>
      <c r="AC14" s="23"/>
      <c r="AD14" s="23"/>
    </row>
    <row r="15" spans="1:39">
      <c r="B15" s="23" t="s">
        <v>680</v>
      </c>
      <c r="C15" s="53">
        <v>40</v>
      </c>
      <c r="D15" s="23">
        <f t="shared" ref="D15:D17" si="9">D3*70%</f>
        <v>21</v>
      </c>
      <c r="E15" s="23">
        <f t="shared" ref="E15:E17" si="10">E3*75%</f>
        <v>58.2</v>
      </c>
      <c r="F15" s="23"/>
      <c r="G15" s="23"/>
      <c r="H15" s="23">
        <v>1</v>
      </c>
      <c r="I15" s="23">
        <v>9</v>
      </c>
      <c r="J15" s="23"/>
      <c r="K15" s="23"/>
      <c r="L15" s="23"/>
      <c r="M15" s="23"/>
      <c r="N15" s="60"/>
      <c r="O15" s="23"/>
      <c r="P15" s="23"/>
      <c r="Q15" s="60"/>
      <c r="R15" s="23"/>
      <c r="S15" s="23"/>
      <c r="T15" s="60"/>
      <c r="U15" s="23">
        <f>U14+$U41*((1+3)/3)^2</f>
        <v>17.444444444444443</v>
      </c>
      <c r="V15" s="23">
        <f>U14+$U41*((9+3)/3)^2</f>
        <v>117</v>
      </c>
      <c r="W15" s="60">
        <f>U15+$U41*(($S$46+3)/3)^2</f>
        <v>111.55555555555554</v>
      </c>
      <c r="X15" s="23"/>
      <c r="Y15" s="23"/>
      <c r="Z15" s="62"/>
      <c r="AA15" s="23"/>
      <c r="AB15" s="23"/>
      <c r="AC15" s="23"/>
      <c r="AD15" s="23"/>
    </row>
    <row r="16" spans="1:39">
      <c r="B16" s="23" t="s">
        <v>684</v>
      </c>
      <c r="C16" s="53">
        <v>90</v>
      </c>
      <c r="D16" s="23">
        <f t="shared" si="9"/>
        <v>46.199999999999996</v>
      </c>
      <c r="E16" s="23">
        <f t="shared" si="10"/>
        <v>96</v>
      </c>
      <c r="F16" s="23"/>
      <c r="G16" s="23"/>
      <c r="H16" s="23">
        <v>1</v>
      </c>
      <c r="I16" s="23">
        <v>9</v>
      </c>
      <c r="J16" s="23"/>
      <c r="K16" s="23"/>
      <c r="L16" s="23"/>
      <c r="M16" s="23"/>
      <c r="N16" s="60"/>
      <c r="O16" s="23"/>
      <c r="P16" s="23"/>
      <c r="Q16" s="60"/>
      <c r="R16" s="23"/>
      <c r="S16" s="23"/>
      <c r="T16" s="60"/>
      <c r="U16" s="23">
        <f>U15+$U42*((1+3)/3)^2</f>
        <v>33.444444444444443</v>
      </c>
      <c r="V16" s="23">
        <f>U15+$U42*((9+3)/3)^2</f>
        <v>161.44444444444446</v>
      </c>
      <c r="W16" s="60">
        <f>U16+$U42*(($S$46+3)/3)^2</f>
        <v>154.44444444444443</v>
      </c>
      <c r="X16" s="23"/>
      <c r="Y16" s="23"/>
      <c r="Z16" s="62"/>
      <c r="AA16" s="23"/>
      <c r="AB16" s="23"/>
      <c r="AC16" s="23"/>
      <c r="AD16" s="23"/>
    </row>
    <row r="17" spans="2:30">
      <c r="B17" s="23" t="s">
        <v>429</v>
      </c>
      <c r="C17" s="53">
        <v>150</v>
      </c>
      <c r="D17" s="23">
        <f t="shared" si="9"/>
        <v>79.8</v>
      </c>
      <c r="E17" s="23">
        <f t="shared" si="10"/>
        <v>175.8</v>
      </c>
      <c r="F17" s="23"/>
      <c r="G17" s="23"/>
      <c r="H17" s="23">
        <v>1</v>
      </c>
      <c r="I17" s="23">
        <v>9</v>
      </c>
      <c r="J17" s="23"/>
      <c r="K17" s="23"/>
      <c r="L17" s="23"/>
      <c r="M17" s="23"/>
      <c r="N17" s="60"/>
      <c r="O17" s="23"/>
      <c r="P17" s="23"/>
      <c r="Q17" s="60"/>
      <c r="R17" s="23"/>
      <c r="S17" s="23"/>
      <c r="T17" s="60"/>
      <c r="U17" s="23">
        <f>U16+$U43*((1+3)/3)^2</f>
        <v>54.777777777777771</v>
      </c>
      <c r="V17" s="23">
        <f>U16+$U43*((9+3)/3)^2</f>
        <v>225.44444444444446</v>
      </c>
      <c r="W17" s="60">
        <f>U17+$U43*(($S$46+3)/3)^2</f>
        <v>216.11111111111109</v>
      </c>
      <c r="X17" s="23"/>
      <c r="Y17" s="23"/>
      <c r="Z17" s="62"/>
      <c r="AA17" s="23"/>
      <c r="AB17" s="23"/>
      <c r="AC17" s="23"/>
      <c r="AD17" s="23"/>
    </row>
    <row r="18" spans="2:30">
      <c r="B18" s="25" t="s">
        <v>677</v>
      </c>
      <c r="C18" s="25">
        <f>C14*75%</f>
        <v>7.5</v>
      </c>
      <c r="D18" s="25">
        <f>D2*60%</f>
        <v>3</v>
      </c>
      <c r="E18" s="55">
        <v>25</v>
      </c>
      <c r="F18" s="25"/>
      <c r="G18" s="25"/>
      <c r="H18" s="25">
        <v>1</v>
      </c>
      <c r="I18" s="25">
        <v>9</v>
      </c>
      <c r="J18" s="25"/>
      <c r="K18" s="25"/>
      <c r="L18" s="25"/>
      <c r="M18" s="25"/>
      <c r="N18" s="60"/>
      <c r="O18" s="25">
        <v>10</v>
      </c>
      <c r="P18" s="25">
        <f>O18+$V40*((9+3)/3)^2</f>
        <v>42</v>
      </c>
      <c r="Q18" s="60">
        <f>O18+$V40*(($S$46+3)/3)^2</f>
        <v>36.888888888888886</v>
      </c>
      <c r="R18" s="25"/>
      <c r="S18" s="25"/>
      <c r="T18" s="60"/>
      <c r="U18" s="25">
        <v>8</v>
      </c>
      <c r="V18" s="25">
        <f>U18+$X40*((9+3)/3)^2</f>
        <v>40</v>
      </c>
      <c r="W18" s="60">
        <f>U18+$X40*(($S$46+3)/3)^2</f>
        <v>34.888888888888886</v>
      </c>
      <c r="X18" s="25"/>
      <c r="Y18" s="25"/>
      <c r="Z18" s="62"/>
      <c r="AA18" s="25"/>
      <c r="AB18" s="25"/>
      <c r="AC18" s="25"/>
      <c r="AD18" s="25"/>
    </row>
    <row r="19" spans="2:30">
      <c r="B19" s="25" t="s">
        <v>681</v>
      </c>
      <c r="C19" s="25">
        <f t="shared" ref="C19:C21" si="11">C15*75%</f>
        <v>30</v>
      </c>
      <c r="D19" s="25">
        <f t="shared" ref="D19:D21" si="12">D3*60%</f>
        <v>18</v>
      </c>
      <c r="E19" s="55">
        <v>97</v>
      </c>
      <c r="F19" s="25"/>
      <c r="G19" s="25"/>
      <c r="H19" s="25">
        <v>1</v>
      </c>
      <c r="I19" s="25">
        <v>9</v>
      </c>
      <c r="J19" s="25"/>
      <c r="K19" s="25"/>
      <c r="L19" s="25"/>
      <c r="M19" s="25"/>
      <c r="N19" s="60"/>
      <c r="O19" s="25">
        <f>O18+$V41*((1+3)/3)^2</f>
        <v>17.111111111111111</v>
      </c>
      <c r="P19" s="25">
        <f>O19+$V41*((9+3)/3)^2</f>
        <v>81.111111111111114</v>
      </c>
      <c r="Q19" s="60">
        <f>O19+$V41*(($S$46+3)/3)^2</f>
        <v>70.888888888888886</v>
      </c>
      <c r="R19" s="25"/>
      <c r="S19" s="25"/>
      <c r="T19" s="60"/>
      <c r="U19" s="25">
        <f>U18+$X41*((1+3)/3)^2</f>
        <v>13.333333333333332</v>
      </c>
      <c r="V19" s="25">
        <f>U18+$X41*((9+3)/3)^2</f>
        <v>56</v>
      </c>
      <c r="W19" s="60">
        <f>U19+$X41*(($S$46+3)/3)^2</f>
        <v>53.666666666666657</v>
      </c>
      <c r="X19" s="25"/>
      <c r="Y19" s="25"/>
      <c r="Z19" s="62"/>
      <c r="AA19" s="25"/>
      <c r="AB19" s="25"/>
      <c r="AC19" s="25"/>
      <c r="AD19" s="25"/>
    </row>
    <row r="20" spans="2:30">
      <c r="B20" s="25" t="s">
        <v>683</v>
      </c>
      <c r="C20" s="25">
        <f t="shared" si="11"/>
        <v>67.5</v>
      </c>
      <c r="D20" s="25">
        <f t="shared" si="12"/>
        <v>39.6</v>
      </c>
      <c r="E20" s="55">
        <v>160</v>
      </c>
      <c r="F20" s="25"/>
      <c r="G20" s="25"/>
      <c r="H20" s="25">
        <v>1</v>
      </c>
      <c r="I20" s="25">
        <v>9</v>
      </c>
      <c r="J20" s="25"/>
      <c r="K20" s="25"/>
      <c r="L20" s="25"/>
      <c r="M20" s="25"/>
      <c r="N20" s="60"/>
      <c r="O20" s="25">
        <f>O19+$V42*((1+3)/3)^2</f>
        <v>27.777777777777779</v>
      </c>
      <c r="P20" s="25">
        <f>O20+$V42*((9+3)/3)^2</f>
        <v>123.77777777777777</v>
      </c>
      <c r="Q20" s="60">
        <f>O20+$V42*(($S$46+3)/3)^2</f>
        <v>108.44444444444443</v>
      </c>
      <c r="R20" s="25"/>
      <c r="S20" s="25"/>
      <c r="T20" s="60"/>
      <c r="U20" s="25">
        <f>U19+$X42*((1+3)/3)^2</f>
        <v>20.444444444444443</v>
      </c>
      <c r="V20" s="25">
        <f>U19+$X42*((9+3)/3)^2</f>
        <v>77.333333333333329</v>
      </c>
      <c r="W20" s="60">
        <f>U20+$X42*(($S$46+3)/3)^2</f>
        <v>74.222222222222214</v>
      </c>
      <c r="X20" s="25"/>
      <c r="Y20" s="25"/>
      <c r="Z20" s="62"/>
      <c r="AA20" s="25"/>
      <c r="AB20" s="25"/>
      <c r="AC20" s="25"/>
      <c r="AD20" s="25"/>
    </row>
    <row r="21" spans="2:30">
      <c r="B21" s="25" t="s">
        <v>688</v>
      </c>
      <c r="C21" s="25">
        <f t="shared" si="11"/>
        <v>112.5</v>
      </c>
      <c r="D21" s="25">
        <f t="shared" si="12"/>
        <v>68.399999999999991</v>
      </c>
      <c r="E21" s="55">
        <v>293</v>
      </c>
      <c r="F21" s="25"/>
      <c r="G21" s="25"/>
      <c r="H21" s="25">
        <v>1</v>
      </c>
      <c r="I21" s="25">
        <v>9</v>
      </c>
      <c r="J21" s="25"/>
      <c r="K21" s="25"/>
      <c r="L21" s="25"/>
      <c r="M21" s="25"/>
      <c r="N21" s="60"/>
      <c r="O21" s="25">
        <f>O20+$V43*((1+3)/3)^2</f>
        <v>43.777777777777779</v>
      </c>
      <c r="P21" s="25">
        <f>O21+$V43*((9+3)/3)^2</f>
        <v>187.77777777777777</v>
      </c>
      <c r="Q21" s="60">
        <f>O21+$V43*(($S$46+3)/3)^2</f>
        <v>164.77777777777777</v>
      </c>
      <c r="R21" s="25"/>
      <c r="S21" s="25"/>
      <c r="T21" s="60"/>
      <c r="U21" s="25">
        <f>U20+$X43*((1+3)/3)^2</f>
        <v>31.111111111111107</v>
      </c>
      <c r="V21" s="25">
        <f>U20+$X43*((9+3)/3)^2</f>
        <v>116.44444444444444</v>
      </c>
      <c r="W21" s="60">
        <f>U21+$X43*(($S$46+3)/3)^2</f>
        <v>111.77777777777777</v>
      </c>
      <c r="X21" s="25"/>
      <c r="Y21" s="25"/>
      <c r="Z21" s="62"/>
      <c r="AA21" s="25"/>
      <c r="AB21" s="25"/>
      <c r="AC21" s="25"/>
      <c r="AD21" s="25"/>
    </row>
    <row r="22" spans="2:30">
      <c r="B22" s="21" t="s">
        <v>678</v>
      </c>
      <c r="C22" s="21">
        <f>C14*65%</f>
        <v>6.5</v>
      </c>
      <c r="D22" s="21">
        <f>D2*90%</f>
        <v>4.5</v>
      </c>
      <c r="E22" s="21">
        <f>E2*95%</f>
        <v>19</v>
      </c>
      <c r="F22" s="21"/>
      <c r="G22" s="21"/>
      <c r="H22" s="21">
        <v>1</v>
      </c>
      <c r="I22" s="21">
        <v>9</v>
      </c>
      <c r="J22" s="21"/>
      <c r="K22" s="21"/>
      <c r="L22" s="21"/>
      <c r="M22" s="21"/>
      <c r="N22" s="60"/>
      <c r="O22" s="21"/>
      <c r="P22" s="21"/>
      <c r="Q22" s="60"/>
      <c r="R22" s="21"/>
      <c r="S22" s="21"/>
      <c r="T22" s="60"/>
      <c r="U22" s="21">
        <v>4</v>
      </c>
      <c r="V22" s="21">
        <f>U22+$AA40*((9+3)/3)^2</f>
        <v>20</v>
      </c>
      <c r="W22" s="60">
        <f>U22+$AA40*(($S$46+3)/3)^2</f>
        <v>17.444444444444443</v>
      </c>
      <c r="X22" s="21">
        <v>8</v>
      </c>
      <c r="Y22" s="21">
        <f>X22+$AB40*((9+3)/3)^2</f>
        <v>40</v>
      </c>
      <c r="Z22" s="62">
        <f>X22+$AB40*(($S$46+3)/3)^2</f>
        <v>34.888888888888886</v>
      </c>
      <c r="AA22" s="21"/>
      <c r="AB22" s="21"/>
      <c r="AC22" s="21"/>
      <c r="AD22" s="21"/>
    </row>
    <row r="23" spans="2:30">
      <c r="B23" s="21" t="s">
        <v>682</v>
      </c>
      <c r="C23" s="21">
        <f t="shared" ref="C23:C25" si="13">C15*65%</f>
        <v>26</v>
      </c>
      <c r="D23" s="21">
        <f t="shared" ref="D23:D25" si="14">D3*90%</f>
        <v>27</v>
      </c>
      <c r="E23" s="21">
        <f t="shared" ref="E23:E25" si="15">E3*95%</f>
        <v>73.72</v>
      </c>
      <c r="F23" s="21"/>
      <c r="G23" s="21"/>
      <c r="H23" s="21">
        <v>1</v>
      </c>
      <c r="I23" s="21">
        <v>9</v>
      </c>
      <c r="J23" s="21"/>
      <c r="K23" s="21"/>
      <c r="L23" s="21"/>
      <c r="M23" s="21"/>
      <c r="N23" s="60"/>
      <c r="O23" s="21"/>
      <c r="P23" s="21"/>
      <c r="Q23" s="60"/>
      <c r="R23" s="21"/>
      <c r="S23" s="21"/>
      <c r="T23" s="60"/>
      <c r="U23" s="21">
        <f>U22+$AA41*((1+3)/3)^2</f>
        <v>7.5555555555555554</v>
      </c>
      <c r="V23" s="21">
        <f>U22+$AA41*((9+3)/3)^2</f>
        <v>36</v>
      </c>
      <c r="W23" s="60">
        <f>U23+$AA41*(($S$46+3)/3)^2</f>
        <v>34.444444444444443</v>
      </c>
      <c r="X23" s="21">
        <f>X22+$AB41*((1+3)/3)^2</f>
        <v>13.333333333333332</v>
      </c>
      <c r="Y23" s="21">
        <f>X22+$AB41*((9+3)/3)^2</f>
        <v>56</v>
      </c>
      <c r="Z23" s="62">
        <f>X23+$AB41*(($S$46+3)/3)^2</f>
        <v>53.666666666666657</v>
      </c>
      <c r="AA23" s="21"/>
      <c r="AB23" s="21"/>
      <c r="AC23" s="21"/>
      <c r="AD23" s="21"/>
    </row>
    <row r="24" spans="2:30">
      <c r="B24" s="21" t="s">
        <v>685</v>
      </c>
      <c r="C24" s="21">
        <f t="shared" si="13"/>
        <v>58.5</v>
      </c>
      <c r="D24" s="21">
        <f t="shared" si="14"/>
        <v>59.4</v>
      </c>
      <c r="E24" s="21">
        <f t="shared" si="15"/>
        <v>121.6</v>
      </c>
      <c r="F24" s="21"/>
      <c r="G24" s="21"/>
      <c r="H24" s="21">
        <v>1</v>
      </c>
      <c r="I24" s="21">
        <v>9</v>
      </c>
      <c r="J24" s="21"/>
      <c r="K24" s="21"/>
      <c r="L24" s="21"/>
      <c r="M24" s="21"/>
      <c r="N24" s="60"/>
      <c r="O24" s="21"/>
      <c r="P24" s="21"/>
      <c r="Q24" s="60"/>
      <c r="R24" s="21"/>
      <c r="S24" s="21"/>
      <c r="T24" s="60"/>
      <c r="U24" s="21">
        <f>U23+$AA42*((1+3)/3)^2</f>
        <v>12.888888888888889</v>
      </c>
      <c r="V24" s="21">
        <f>U23+$AA42*((9+3)/3)^2</f>
        <v>55.555555555555557</v>
      </c>
      <c r="W24" s="60">
        <f>U24+$AA42*(($S$46+3)/3)^2</f>
        <v>53.222222222222214</v>
      </c>
      <c r="X24" s="21">
        <f>X23+$AB42*((1+3)/3)^2</f>
        <v>20.444444444444443</v>
      </c>
      <c r="Y24" s="21">
        <f>X23+$AB42*((9+3)/3)^2</f>
        <v>77.333333333333329</v>
      </c>
      <c r="Z24" s="62">
        <f>X24+$AB42*(($S$46+3)/3)^2</f>
        <v>74.222222222222214</v>
      </c>
      <c r="AA24" s="21"/>
      <c r="AB24" s="21"/>
      <c r="AC24" s="21"/>
      <c r="AD24" s="21"/>
    </row>
    <row r="25" spans="2:30">
      <c r="B25" s="21" t="s">
        <v>687</v>
      </c>
      <c r="C25" s="21">
        <f t="shared" si="13"/>
        <v>97.5</v>
      </c>
      <c r="D25" s="21">
        <f t="shared" si="14"/>
        <v>102.60000000000001</v>
      </c>
      <c r="E25" s="21">
        <f t="shared" si="15"/>
        <v>222.68</v>
      </c>
      <c r="F25" s="21"/>
      <c r="G25" s="21"/>
      <c r="H25" s="21">
        <v>1</v>
      </c>
      <c r="I25" s="21">
        <v>9</v>
      </c>
      <c r="J25" s="21"/>
      <c r="K25" s="21"/>
      <c r="L25" s="21"/>
      <c r="M25" s="21"/>
      <c r="N25" s="60"/>
      <c r="O25" s="21"/>
      <c r="P25" s="21"/>
      <c r="Q25" s="60"/>
      <c r="R25" s="21"/>
      <c r="S25" s="21"/>
      <c r="T25" s="60"/>
      <c r="U25" s="21">
        <f>U24+$AA43*((1+3)/3)^2</f>
        <v>20.888888888888889</v>
      </c>
      <c r="V25" s="21">
        <f>U24+$AA43*((9+3)/3)^2</f>
        <v>84.888888888888886</v>
      </c>
      <c r="W25" s="60">
        <f>U25+$AA43*(($S$46+3)/3)^2</f>
        <v>81.388888888888886</v>
      </c>
      <c r="X25" s="21">
        <f>X24+$AB43*((1+3)/3)^2</f>
        <v>31.111111111111107</v>
      </c>
      <c r="Y25" s="21">
        <f>X24+$AB43*((9+3)/3)^2</f>
        <v>116.44444444444444</v>
      </c>
      <c r="Z25" s="62">
        <f>X25+$AB43*(($S$46+3)/3)^2</f>
        <v>111.77777777777777</v>
      </c>
      <c r="AA25" s="21"/>
      <c r="AB25" s="21"/>
      <c r="AC25" s="21"/>
      <c r="AD25" s="21"/>
    </row>
    <row r="26" spans="2:30">
      <c r="K26" s="63" t="s">
        <v>760</v>
      </c>
      <c r="L26" s="63"/>
      <c r="M26" s="63"/>
      <c r="N26" s="11" t="s">
        <v>756</v>
      </c>
      <c r="O26" s="63"/>
      <c r="P26" s="63"/>
      <c r="Q26" s="11" t="s">
        <v>753</v>
      </c>
      <c r="R26" s="63"/>
      <c r="S26" s="63"/>
      <c r="T26" s="11" t="s">
        <v>755</v>
      </c>
      <c r="U26" s="63"/>
      <c r="V26" s="63"/>
      <c r="W26" s="11" t="s">
        <v>757</v>
      </c>
      <c r="X26" s="63"/>
      <c r="Y26" s="63"/>
      <c r="Z26" s="11" t="s">
        <v>758</v>
      </c>
      <c r="AA26" s="63"/>
      <c r="AB26" s="63"/>
      <c r="AC26" s="63"/>
      <c r="AD26" s="63"/>
    </row>
    <row r="27" spans="2:30">
      <c r="K27" s="63" t="s">
        <v>761</v>
      </c>
      <c r="L27" s="63"/>
      <c r="M27" s="63"/>
      <c r="N27" s="63">
        <f>N2</f>
        <v>31.888888888888886</v>
      </c>
      <c r="O27" s="63"/>
      <c r="P27" s="63"/>
      <c r="Q27" s="63">
        <f>Q6+Q14+Q18</f>
        <v>36.888888888888886</v>
      </c>
      <c r="R27" s="63"/>
      <c r="S27" s="63"/>
      <c r="T27" s="63">
        <f>T6</f>
        <v>28.888888888888886</v>
      </c>
      <c r="U27" s="63"/>
      <c r="V27" s="63"/>
      <c r="W27" s="64">
        <f>W10+W14+W18+W22</f>
        <v>154.72222222222223</v>
      </c>
      <c r="X27" s="63"/>
      <c r="Y27" s="63"/>
      <c r="Z27" s="65">
        <f>Z2+Z6+Z10+Z18+Z22</f>
        <v>73.777777777777771</v>
      </c>
      <c r="AA27" s="63"/>
      <c r="AB27" s="63"/>
      <c r="AC27" s="63"/>
      <c r="AD27" s="63"/>
    </row>
    <row r="28" spans="2:30">
      <c r="K28" s="63" t="s">
        <v>762</v>
      </c>
      <c r="L28" s="63"/>
      <c r="M28" s="63"/>
      <c r="N28" s="63">
        <f t="shared" ref="N28:N30" si="16">N3</f>
        <v>58.777777777777771</v>
      </c>
      <c r="O28" s="63"/>
      <c r="P28" s="63"/>
      <c r="Q28" s="63">
        <f t="shared" ref="Q28:Q30" si="17">Q7+Q15+Q19</f>
        <v>70.888888888888886</v>
      </c>
      <c r="R28" s="63"/>
      <c r="S28" s="63"/>
      <c r="T28" s="63">
        <f t="shared" ref="T28:T30" si="18">T7</f>
        <v>47.666666666666664</v>
      </c>
      <c r="U28" s="63"/>
      <c r="V28" s="63"/>
      <c r="W28" s="64">
        <f t="shared" ref="W28:W30" si="19">W11+W15+W19+W23</f>
        <v>255.33333333333331</v>
      </c>
      <c r="X28" s="63"/>
      <c r="Y28" s="63"/>
      <c r="Z28" s="65">
        <f t="shared" ref="Z28:Z30" si="20">Z3+Z7+Z11+Z19+Z23</f>
        <v>126.55555555555554</v>
      </c>
      <c r="AA28" s="63"/>
      <c r="AB28" s="63"/>
      <c r="AC28" s="63"/>
      <c r="AD28" s="63"/>
    </row>
    <row r="29" spans="2:30">
      <c r="K29" s="63" t="s">
        <v>763</v>
      </c>
      <c r="L29" s="63"/>
      <c r="M29" s="63"/>
      <c r="N29" s="63">
        <f t="shared" si="16"/>
        <v>85.666666666666657</v>
      </c>
      <c r="O29" s="63"/>
      <c r="P29" s="63"/>
      <c r="Q29" s="63">
        <f t="shared" si="17"/>
        <v>108.44444444444443</v>
      </c>
      <c r="R29" s="63"/>
      <c r="S29" s="63"/>
      <c r="T29" s="63">
        <f t="shared" si="18"/>
        <v>68.222222222222214</v>
      </c>
      <c r="U29" s="63"/>
      <c r="V29" s="63"/>
      <c r="W29" s="64">
        <f t="shared" si="19"/>
        <v>365.72222222222223</v>
      </c>
      <c r="X29" s="63"/>
      <c r="Y29" s="63"/>
      <c r="Z29" s="65">
        <f t="shared" si="20"/>
        <v>184.66666666666663</v>
      </c>
      <c r="AA29" s="63"/>
      <c r="AB29" s="63"/>
      <c r="AC29" s="63"/>
      <c r="AD29" s="63"/>
    </row>
    <row r="30" spans="2:30">
      <c r="K30" s="63" t="s">
        <v>764</v>
      </c>
      <c r="L30" s="63"/>
      <c r="M30" s="63"/>
      <c r="N30" s="63">
        <f t="shared" si="16"/>
        <v>125.99999999999999</v>
      </c>
      <c r="O30" s="63"/>
      <c r="P30" s="63"/>
      <c r="Q30" s="63">
        <f t="shared" si="17"/>
        <v>164.77777777777777</v>
      </c>
      <c r="R30" s="63"/>
      <c r="S30" s="63"/>
      <c r="T30" s="63">
        <f t="shared" si="18"/>
        <v>120.99999999999999</v>
      </c>
      <c r="U30" s="63"/>
      <c r="V30" s="63"/>
      <c r="W30" s="64">
        <f t="shared" si="19"/>
        <v>539.16666666666663</v>
      </c>
      <c r="X30" s="63"/>
      <c r="Y30" s="63"/>
      <c r="Z30" s="65">
        <f t="shared" si="20"/>
        <v>278.55555555555554</v>
      </c>
      <c r="AA30" s="63"/>
      <c r="AB30" s="63"/>
      <c r="AC30" s="63"/>
      <c r="AD30" s="63"/>
    </row>
    <row r="39" spans="1:28" ht="13.5" customHeight="1">
      <c r="A39" s="39" t="s">
        <v>727</v>
      </c>
      <c r="B39" s="72" t="s">
        <v>726</v>
      </c>
      <c r="C39" s="72"/>
      <c r="D39" s="72"/>
      <c r="E39" s="72"/>
      <c r="F39" s="72"/>
      <c r="G39" s="72"/>
      <c r="J39" t="s">
        <v>711</v>
      </c>
      <c r="K39" t="s">
        <v>712</v>
      </c>
      <c r="L39" t="s">
        <v>713</v>
      </c>
      <c r="M39" t="s">
        <v>714</v>
      </c>
      <c r="O39" t="s">
        <v>715</v>
      </c>
      <c r="P39" t="s">
        <v>716</v>
      </c>
      <c r="R39" t="s">
        <v>717</v>
      </c>
      <c r="S39" t="s">
        <v>718</v>
      </c>
      <c r="U39" t="s">
        <v>719</v>
      </c>
      <c r="V39" t="s">
        <v>721</v>
      </c>
      <c r="X39" t="s">
        <v>722</v>
      </c>
      <c r="Y39" t="s">
        <v>723</v>
      </c>
      <c r="AA39" s="17" t="s">
        <v>724</v>
      </c>
      <c r="AB39" s="17" t="s">
        <v>725</v>
      </c>
    </row>
    <row r="40" spans="1:28" ht="13.5" customHeight="1">
      <c r="B40" s="72"/>
      <c r="C40" s="72"/>
      <c r="D40" s="72"/>
      <c r="E40" s="72"/>
      <c r="F40" s="72"/>
      <c r="G40" s="72"/>
      <c r="H40" s="26"/>
      <c r="I40" s="26" t="s">
        <v>702</v>
      </c>
      <c r="J40" s="26">
        <v>2</v>
      </c>
      <c r="K40">
        <v>2</v>
      </c>
      <c r="L40" s="26">
        <v>1</v>
      </c>
      <c r="M40" s="26">
        <v>2</v>
      </c>
      <c r="N40" s="26"/>
      <c r="O40" s="26">
        <v>1</v>
      </c>
      <c r="P40" s="26">
        <v>1.5</v>
      </c>
      <c r="Q40" s="26"/>
      <c r="R40" s="26">
        <v>1</v>
      </c>
      <c r="S40" s="26">
        <v>2</v>
      </c>
      <c r="T40" s="26"/>
      <c r="U40" s="26">
        <v>5</v>
      </c>
      <c r="V40" s="26">
        <v>2</v>
      </c>
      <c r="W40" s="26"/>
      <c r="X40" s="26">
        <v>2</v>
      </c>
      <c r="Y40" s="26">
        <v>2</v>
      </c>
      <c r="Z40" s="26"/>
      <c r="AA40" s="26">
        <v>1</v>
      </c>
      <c r="AB40" s="26">
        <v>2</v>
      </c>
    </row>
    <row r="41" spans="1:28">
      <c r="B41" s="72"/>
      <c r="C41" s="72"/>
      <c r="D41" s="72"/>
      <c r="E41" s="72"/>
      <c r="F41" s="72"/>
      <c r="G41" s="72"/>
      <c r="H41" s="26"/>
      <c r="I41" s="26" t="s">
        <v>703</v>
      </c>
      <c r="J41" s="26">
        <v>4</v>
      </c>
      <c r="K41">
        <v>4</v>
      </c>
      <c r="L41" s="26">
        <v>2</v>
      </c>
      <c r="M41" s="26">
        <v>3</v>
      </c>
      <c r="N41" s="26"/>
      <c r="O41" s="26">
        <v>2</v>
      </c>
      <c r="P41" s="26">
        <v>3</v>
      </c>
      <c r="Q41" s="26"/>
      <c r="R41" s="26">
        <v>2</v>
      </c>
      <c r="S41" s="26">
        <v>3</v>
      </c>
      <c r="T41" s="26"/>
      <c r="U41" s="26">
        <v>7</v>
      </c>
      <c r="V41" s="26">
        <v>4</v>
      </c>
      <c r="W41" s="26"/>
      <c r="X41" s="26">
        <v>3</v>
      </c>
      <c r="Y41" s="26">
        <v>3</v>
      </c>
      <c r="Z41" s="26"/>
      <c r="AA41" s="26">
        <v>2</v>
      </c>
      <c r="AB41" s="26">
        <v>3</v>
      </c>
    </row>
    <row r="42" spans="1:28">
      <c r="B42" s="72"/>
      <c r="C42" s="72"/>
      <c r="D42" s="72"/>
      <c r="E42" s="72"/>
      <c r="F42" s="72"/>
      <c r="G42" s="72"/>
      <c r="H42" s="26"/>
      <c r="I42" s="26" t="s">
        <v>704</v>
      </c>
      <c r="J42" s="26">
        <v>6</v>
      </c>
      <c r="K42">
        <v>6</v>
      </c>
      <c r="L42" s="26">
        <v>3</v>
      </c>
      <c r="M42" s="26">
        <v>4</v>
      </c>
      <c r="N42" s="26"/>
      <c r="O42" s="26">
        <v>3</v>
      </c>
      <c r="P42" s="26">
        <v>4.5</v>
      </c>
      <c r="Q42" s="26"/>
      <c r="R42" s="26">
        <v>3</v>
      </c>
      <c r="S42" s="26">
        <v>4</v>
      </c>
      <c r="T42" s="26"/>
      <c r="U42" s="26">
        <v>9</v>
      </c>
      <c r="V42" s="26">
        <v>6</v>
      </c>
      <c r="W42" s="26"/>
      <c r="X42" s="26">
        <v>4</v>
      </c>
      <c r="Y42" s="26">
        <v>4</v>
      </c>
      <c r="Z42" s="26"/>
      <c r="AA42" s="26">
        <v>3</v>
      </c>
      <c r="AB42" s="26">
        <v>4</v>
      </c>
    </row>
    <row r="43" spans="1:28">
      <c r="B43" s="72"/>
      <c r="C43" s="72"/>
      <c r="D43" s="72"/>
      <c r="E43" s="72"/>
      <c r="F43" s="72"/>
      <c r="G43" s="72"/>
      <c r="H43" s="26"/>
      <c r="I43" s="26" t="s">
        <v>705</v>
      </c>
      <c r="J43" s="26">
        <v>9</v>
      </c>
      <c r="K43">
        <v>9</v>
      </c>
      <c r="L43" s="26">
        <v>5</v>
      </c>
      <c r="M43" s="26">
        <v>7</v>
      </c>
      <c r="N43" s="26"/>
      <c r="O43" s="26">
        <v>5</v>
      </c>
      <c r="P43" s="26">
        <v>7</v>
      </c>
      <c r="Q43" s="26"/>
      <c r="R43" s="26">
        <v>5</v>
      </c>
      <c r="S43" s="26">
        <v>6</v>
      </c>
      <c r="T43" s="26"/>
      <c r="U43" s="26">
        <v>12</v>
      </c>
      <c r="V43" s="26">
        <v>9</v>
      </c>
      <c r="W43" s="26"/>
      <c r="X43" s="26">
        <v>6</v>
      </c>
      <c r="Y43" s="26">
        <v>6</v>
      </c>
      <c r="Z43" s="26"/>
      <c r="AA43" s="26">
        <v>4.5</v>
      </c>
      <c r="AB43" s="26">
        <v>6</v>
      </c>
    </row>
    <row r="44" spans="1:28" ht="13.5" customHeight="1">
      <c r="A44" s="40" t="s">
        <v>728</v>
      </c>
      <c r="B44" s="75" t="s">
        <v>731</v>
      </c>
      <c r="C44" s="75"/>
      <c r="D44" s="75"/>
      <c r="E44" s="75"/>
      <c r="F44" s="75"/>
      <c r="G44" s="75"/>
      <c r="K44" s="11"/>
      <c r="L44" s="11"/>
      <c r="M44" s="11"/>
      <c r="N44" s="11"/>
      <c r="P44" s="11"/>
      <c r="Q44" s="11"/>
    </row>
    <row r="45" spans="1:28">
      <c r="A45" s="40"/>
      <c r="B45" s="75"/>
      <c r="C45" s="75"/>
      <c r="D45" s="75"/>
      <c r="E45" s="75"/>
      <c r="F45" s="75"/>
      <c r="G45" s="75"/>
      <c r="H45" s="36"/>
      <c r="I45" s="34" t="s">
        <v>720</v>
      </c>
      <c r="J45" s="35" t="s">
        <v>709</v>
      </c>
      <c r="K45" s="35" t="s">
        <v>710</v>
      </c>
      <c r="L45" s="35" t="s">
        <v>706</v>
      </c>
      <c r="M45" s="35" t="s">
        <v>707</v>
      </c>
      <c r="N45" s="35"/>
      <c r="O45" s="35" t="s">
        <v>708</v>
      </c>
      <c r="P45" s="37" t="s">
        <v>734</v>
      </c>
      <c r="Q45" s="37"/>
      <c r="R45" s="37" t="s">
        <v>735</v>
      </c>
      <c r="S45" s="61" t="s">
        <v>759</v>
      </c>
      <c r="T45" s="33"/>
    </row>
    <row r="46" spans="1:28">
      <c r="A46" s="40"/>
      <c r="B46" s="75"/>
      <c r="C46" s="75"/>
      <c r="D46" s="75"/>
      <c r="E46" s="75"/>
      <c r="F46" s="75"/>
      <c r="G46" s="75"/>
      <c r="I46" s="20" t="s">
        <v>669</v>
      </c>
      <c r="J46" s="17">
        <v>10</v>
      </c>
      <c r="K46" s="17"/>
      <c r="O46" s="26">
        <v>12</v>
      </c>
      <c r="S46" s="26">
        <v>8</v>
      </c>
    </row>
    <row r="47" spans="1:28">
      <c r="A47" s="40"/>
      <c r="B47" s="75"/>
      <c r="C47" s="75"/>
      <c r="D47" s="75"/>
      <c r="E47" s="75"/>
      <c r="F47" s="75"/>
      <c r="G47" s="75"/>
      <c r="I47" s="22" t="s">
        <v>671</v>
      </c>
      <c r="J47" s="4"/>
      <c r="K47" s="17"/>
      <c r="L47">
        <v>2</v>
      </c>
      <c r="O47" s="26"/>
    </row>
    <row r="48" spans="1:28">
      <c r="A48" s="40"/>
      <c r="B48" s="75"/>
      <c r="C48" s="75"/>
      <c r="D48" s="75"/>
      <c r="E48" s="75"/>
      <c r="F48" s="75"/>
      <c r="G48" s="75"/>
      <c r="I48" s="24" t="s">
        <v>675</v>
      </c>
      <c r="J48" s="4"/>
      <c r="K48" s="17"/>
      <c r="M48">
        <v>10</v>
      </c>
      <c r="O48" s="26"/>
      <c r="X48" t="s">
        <v>736</v>
      </c>
    </row>
    <row r="49" spans="1:30">
      <c r="A49" s="41" t="s">
        <v>729</v>
      </c>
      <c r="B49" s="76" t="s">
        <v>732</v>
      </c>
      <c r="C49" s="76"/>
      <c r="D49" s="76"/>
      <c r="E49" s="76"/>
      <c r="F49" s="76"/>
      <c r="G49" s="76"/>
      <c r="I49" s="23" t="s">
        <v>676</v>
      </c>
      <c r="J49" s="4"/>
      <c r="K49" s="17"/>
      <c r="M49">
        <v>5</v>
      </c>
    </row>
    <row r="50" spans="1:30">
      <c r="A50" s="41"/>
      <c r="B50" s="76"/>
      <c r="C50" s="76"/>
      <c r="D50" s="76"/>
      <c r="E50" s="76"/>
      <c r="F50" s="76"/>
      <c r="G50" s="76"/>
      <c r="I50" s="25" t="s">
        <v>677</v>
      </c>
      <c r="J50" s="4"/>
      <c r="K50" s="17">
        <v>10</v>
      </c>
      <c r="M50">
        <v>8</v>
      </c>
    </row>
    <row r="51" spans="1:30">
      <c r="A51" s="41"/>
      <c r="B51" s="76"/>
      <c r="C51" s="76"/>
      <c r="D51" s="76"/>
      <c r="E51" s="76"/>
      <c r="F51" s="76"/>
      <c r="G51" s="76"/>
      <c r="I51" s="21" t="s">
        <v>678</v>
      </c>
      <c r="J51" s="4"/>
      <c r="K51" s="4"/>
      <c r="M51">
        <v>2</v>
      </c>
      <c r="O51">
        <v>8</v>
      </c>
    </row>
    <row r="52" spans="1:30">
      <c r="A52" s="41"/>
      <c r="B52" s="76"/>
      <c r="C52" s="76"/>
      <c r="D52" s="76"/>
      <c r="E52" s="76"/>
      <c r="F52" s="76"/>
      <c r="G52" s="76"/>
    </row>
    <row r="53" spans="1:30">
      <c r="A53" s="41"/>
      <c r="B53" s="76"/>
      <c r="C53" s="76"/>
      <c r="D53" s="76"/>
      <c r="E53" s="76"/>
      <c r="F53" s="76"/>
      <c r="G53" s="76"/>
    </row>
    <row r="54" spans="1:30">
      <c r="A54" s="42" t="s">
        <v>730</v>
      </c>
      <c r="B54" s="77" t="s">
        <v>733</v>
      </c>
      <c r="C54" s="77"/>
      <c r="D54" s="77"/>
      <c r="E54" s="77"/>
      <c r="F54" s="77"/>
      <c r="G54" s="77"/>
    </row>
    <row r="55" spans="1:30">
      <c r="A55" s="42"/>
      <c r="B55" s="77"/>
      <c r="C55" s="77"/>
      <c r="D55" s="77"/>
      <c r="E55" s="77"/>
      <c r="F55" s="77"/>
      <c r="G55" s="77"/>
    </row>
    <row r="56" spans="1:30">
      <c r="A56" s="42"/>
      <c r="B56" s="77"/>
      <c r="C56" s="77"/>
      <c r="D56" s="77"/>
      <c r="E56" s="77"/>
      <c r="F56" s="77"/>
      <c r="G56" s="77"/>
    </row>
    <row r="57" spans="1:30">
      <c r="A57" s="42"/>
      <c r="B57" s="77"/>
      <c r="C57" s="77"/>
      <c r="D57" s="77"/>
      <c r="E57" s="77"/>
      <c r="F57" s="77"/>
      <c r="G57" s="77"/>
    </row>
    <row r="58" spans="1:30" ht="13.5" customHeight="1">
      <c r="A58" s="42"/>
      <c r="B58" s="77"/>
      <c r="C58" s="77"/>
      <c r="D58" s="77"/>
      <c r="E58" s="77"/>
      <c r="F58" s="77"/>
      <c r="G58" s="77"/>
      <c r="I58" s="78" t="s">
        <v>752</v>
      </c>
      <c r="J58" s="78"/>
      <c r="K58" s="78"/>
      <c r="L58" s="78"/>
      <c r="M58" s="78"/>
      <c r="N58" s="26"/>
      <c r="AD58" s="66"/>
    </row>
    <row r="59" spans="1:30">
      <c r="I59" s="78"/>
      <c r="J59" s="78"/>
      <c r="K59" s="78"/>
      <c r="L59" s="78"/>
      <c r="M59" s="78"/>
      <c r="N59" s="26"/>
    </row>
    <row r="60" spans="1:30">
      <c r="A60" s="74" t="s">
        <v>751</v>
      </c>
      <c r="B60" s="74"/>
      <c r="C60" s="74"/>
      <c r="D60" s="74"/>
      <c r="E60" s="74"/>
      <c r="F60" s="74"/>
      <c r="G60" s="74"/>
      <c r="I60" s="78"/>
      <c r="J60" s="78"/>
      <c r="K60" s="78"/>
      <c r="L60" s="78"/>
      <c r="M60" s="78"/>
      <c r="N60" s="26"/>
    </row>
    <row r="61" spans="1:30">
      <c r="A61" s="56" t="s">
        <v>740</v>
      </c>
      <c r="B61" s="57">
        <f>(B62+B63+B64)*14+B65</f>
        <v>348</v>
      </c>
      <c r="C61" s="46" t="s">
        <v>745</v>
      </c>
      <c r="D61" s="46" t="s">
        <v>746</v>
      </c>
      <c r="E61" s="46" t="s">
        <v>747</v>
      </c>
      <c r="F61" s="4" t="s">
        <v>748</v>
      </c>
      <c r="I61" s="78"/>
      <c r="J61" s="78"/>
      <c r="K61" s="78"/>
      <c r="L61" s="78"/>
      <c r="M61" s="78"/>
      <c r="N61" s="26"/>
    </row>
    <row r="62" spans="1:30">
      <c r="A62" s="56" t="s">
        <v>741</v>
      </c>
      <c r="B62" s="57">
        <v>6</v>
      </c>
      <c r="C62" s="43">
        <v>5</v>
      </c>
      <c r="D62" s="43">
        <v>10</v>
      </c>
      <c r="E62" s="43">
        <v>25</v>
      </c>
      <c r="F62" s="4">
        <v>0</v>
      </c>
      <c r="I62" s="78"/>
      <c r="J62" s="78"/>
      <c r="K62" s="78"/>
      <c r="L62" s="78"/>
      <c r="M62" s="78"/>
      <c r="N62" s="26"/>
    </row>
    <row r="63" spans="1:30">
      <c r="A63" s="56" t="s">
        <v>742</v>
      </c>
      <c r="B63" s="57">
        <v>8</v>
      </c>
      <c r="C63" s="43">
        <v>6</v>
      </c>
      <c r="D63" s="43">
        <v>11</v>
      </c>
      <c r="E63" s="43">
        <v>26.5</v>
      </c>
      <c r="F63" s="4">
        <f>B67*$B$62</f>
        <v>6</v>
      </c>
      <c r="I63" s="78"/>
      <c r="J63" s="78"/>
      <c r="K63" s="78"/>
      <c r="L63" s="78"/>
      <c r="M63" s="78"/>
      <c r="N63" s="26"/>
    </row>
    <row r="64" spans="1:30">
      <c r="A64" s="56" t="s">
        <v>743</v>
      </c>
      <c r="B64" s="57">
        <v>10</v>
      </c>
      <c r="C64" s="43">
        <v>7</v>
      </c>
      <c r="D64" s="43">
        <v>12</v>
      </c>
      <c r="E64" s="43">
        <v>28</v>
      </c>
      <c r="F64" s="4">
        <f t="shared" ref="F64:F75" si="21">B68*$B$62</f>
        <v>12</v>
      </c>
      <c r="I64" s="78"/>
      <c r="J64" s="78"/>
      <c r="K64" s="78"/>
      <c r="L64" s="78"/>
      <c r="M64" s="78"/>
      <c r="N64" s="26"/>
    </row>
    <row r="65" spans="1:34">
      <c r="A65" s="56" t="s">
        <v>744</v>
      </c>
      <c r="B65" s="57">
        <v>12</v>
      </c>
      <c r="C65" s="43">
        <v>8</v>
      </c>
      <c r="D65" s="43">
        <v>13</v>
      </c>
      <c r="E65" s="43">
        <v>29.5</v>
      </c>
      <c r="F65" s="4">
        <f t="shared" si="21"/>
        <v>18</v>
      </c>
      <c r="I65" s="78"/>
      <c r="J65" s="78"/>
      <c r="K65" s="78"/>
      <c r="L65" s="78"/>
      <c r="M65" s="78"/>
      <c r="N65" s="26"/>
      <c r="O65" s="26"/>
      <c r="P65" s="26"/>
      <c r="Q65" s="26"/>
      <c r="R65" s="26"/>
    </row>
    <row r="66" spans="1:34">
      <c r="C66" s="43">
        <v>9</v>
      </c>
      <c r="D66" s="43">
        <v>14</v>
      </c>
      <c r="E66" s="43">
        <v>31</v>
      </c>
      <c r="F66" s="4">
        <f t="shared" si="21"/>
        <v>24</v>
      </c>
      <c r="I66" s="78"/>
      <c r="J66" s="78"/>
      <c r="K66" s="78"/>
      <c r="L66" s="78"/>
      <c r="M66" s="78"/>
      <c r="N66" s="26"/>
      <c r="O66" s="26"/>
      <c r="P66" s="26"/>
      <c r="Q66" s="26"/>
      <c r="R66" s="26"/>
    </row>
    <row r="67" spans="1:34">
      <c r="A67" s="58" t="s">
        <v>750</v>
      </c>
      <c r="B67" s="59">
        <v>1</v>
      </c>
      <c r="C67" s="43">
        <v>10</v>
      </c>
      <c r="D67" s="43">
        <v>15</v>
      </c>
      <c r="E67" s="43">
        <v>32.5</v>
      </c>
      <c r="F67" s="4">
        <f t="shared" si="21"/>
        <v>30</v>
      </c>
      <c r="I67" s="78"/>
      <c r="J67" s="78"/>
      <c r="K67" s="78"/>
      <c r="L67" s="78"/>
      <c r="M67" s="78"/>
      <c r="N67" s="26"/>
      <c r="O67" s="26"/>
      <c r="P67" s="26"/>
      <c r="Q67" s="26"/>
      <c r="R67" s="26"/>
    </row>
    <row r="68" spans="1:34">
      <c r="A68" s="58"/>
      <c r="B68" s="59">
        <v>2</v>
      </c>
      <c r="C68" s="43">
        <v>11</v>
      </c>
      <c r="D68" s="43">
        <v>16</v>
      </c>
      <c r="E68" s="43">
        <v>34</v>
      </c>
      <c r="F68" s="4">
        <f t="shared" si="21"/>
        <v>36</v>
      </c>
      <c r="I68" s="78"/>
      <c r="J68" s="78"/>
      <c r="K68" s="78"/>
      <c r="L68" s="78"/>
      <c r="M68" s="78"/>
      <c r="N68" s="26"/>
      <c r="O68" s="26"/>
      <c r="P68" s="26"/>
      <c r="Q68" s="26"/>
      <c r="R68" s="26"/>
    </row>
    <row r="69" spans="1:34">
      <c r="A69" s="58"/>
      <c r="B69" s="59">
        <v>3</v>
      </c>
      <c r="C69" s="43">
        <v>12</v>
      </c>
      <c r="D69" s="43">
        <v>17</v>
      </c>
      <c r="E69" s="43">
        <v>35.5</v>
      </c>
      <c r="F69" s="4">
        <f t="shared" si="21"/>
        <v>42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34">
      <c r="A70" s="58"/>
      <c r="B70" s="59">
        <v>4</v>
      </c>
      <c r="C70" s="43">
        <v>13</v>
      </c>
      <c r="D70" s="43">
        <v>18</v>
      </c>
      <c r="E70" s="43">
        <v>37</v>
      </c>
      <c r="F70" s="4">
        <f t="shared" si="21"/>
        <v>48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34">
      <c r="A71" s="58"/>
      <c r="B71" s="59">
        <v>5</v>
      </c>
      <c r="C71" s="43">
        <v>14</v>
      </c>
      <c r="D71" s="43">
        <v>19</v>
      </c>
      <c r="E71" s="43">
        <v>38.5</v>
      </c>
      <c r="F71" s="4">
        <f t="shared" si="21"/>
        <v>54</v>
      </c>
    </row>
    <row r="72" spans="1:34">
      <c r="A72" s="58"/>
      <c r="B72" s="59">
        <v>6</v>
      </c>
      <c r="C72" s="43">
        <v>15</v>
      </c>
      <c r="D72" s="43">
        <v>20</v>
      </c>
      <c r="E72" s="43">
        <v>40</v>
      </c>
      <c r="F72" s="4">
        <f t="shared" si="21"/>
        <v>60</v>
      </c>
      <c r="I72" s="73" t="s">
        <v>749</v>
      </c>
      <c r="J72" s="73"/>
      <c r="K72" s="73"/>
      <c r="L72" s="73"/>
      <c r="M72" s="73"/>
      <c r="Q72" s="67"/>
      <c r="R72" s="17"/>
      <c r="S72" s="17"/>
      <c r="T72" s="17"/>
      <c r="U72" s="17"/>
      <c r="V72" s="68"/>
      <c r="Y72" s="70"/>
      <c r="Z72" s="71"/>
      <c r="AA72" s="72"/>
      <c r="AB72" s="72"/>
      <c r="AC72" s="72"/>
      <c r="AD72" s="72"/>
      <c r="AE72" s="72"/>
      <c r="AF72" s="72"/>
      <c r="AG72" s="72"/>
      <c r="AH72" s="72"/>
    </row>
    <row r="73" spans="1:34">
      <c r="A73" s="58"/>
      <c r="B73" s="59">
        <v>7</v>
      </c>
      <c r="C73" s="43">
        <v>16</v>
      </c>
      <c r="D73" s="43">
        <v>21</v>
      </c>
      <c r="E73" s="43">
        <v>41.5</v>
      </c>
      <c r="F73" s="4">
        <f t="shared" si="21"/>
        <v>66</v>
      </c>
      <c r="I73" s="73"/>
      <c r="J73" s="73"/>
      <c r="K73" s="73"/>
      <c r="L73" s="73"/>
      <c r="M73" s="73"/>
      <c r="Q73" s="36"/>
      <c r="Y73" s="71"/>
      <c r="Z73" s="71"/>
      <c r="AA73" s="72"/>
      <c r="AB73" s="72"/>
      <c r="AC73" s="72"/>
      <c r="AD73" s="72"/>
      <c r="AE73" s="72"/>
      <c r="AF73" s="72"/>
      <c r="AG73" s="72"/>
      <c r="AH73" s="72"/>
    </row>
    <row r="74" spans="1:34">
      <c r="A74" s="58"/>
      <c r="B74" s="59">
        <v>8</v>
      </c>
      <c r="C74" s="43">
        <v>17</v>
      </c>
      <c r="D74" s="43">
        <v>22</v>
      </c>
      <c r="E74" s="43">
        <v>43</v>
      </c>
      <c r="F74" s="4">
        <f t="shared" si="21"/>
        <v>72</v>
      </c>
      <c r="I74" s="73"/>
      <c r="J74" s="73"/>
      <c r="K74" s="73"/>
      <c r="L74" s="73"/>
      <c r="M74" s="73"/>
      <c r="Q74" s="36"/>
      <c r="U74" s="17"/>
      <c r="V74" s="68"/>
      <c r="Y74" s="71"/>
      <c r="Z74" s="71"/>
      <c r="AA74" s="72"/>
      <c r="AB74" s="72"/>
      <c r="AC74" s="72"/>
      <c r="AD74" s="72"/>
      <c r="AE74" s="72"/>
      <c r="AF74" s="72"/>
      <c r="AG74" s="72"/>
      <c r="AH74" s="72"/>
    </row>
    <row r="75" spans="1:34">
      <c r="A75" s="58"/>
      <c r="B75" s="59">
        <v>9</v>
      </c>
      <c r="C75" s="43">
        <v>18</v>
      </c>
      <c r="D75" s="43">
        <v>23</v>
      </c>
      <c r="E75" s="43">
        <v>44.5</v>
      </c>
      <c r="F75" s="4">
        <f t="shared" si="21"/>
        <v>78</v>
      </c>
      <c r="I75" s="73"/>
      <c r="J75" s="73"/>
      <c r="K75" s="73"/>
      <c r="L75" s="73"/>
      <c r="M75" s="73"/>
      <c r="P75" s="26"/>
      <c r="Q75" s="36"/>
      <c r="R75" s="26"/>
      <c r="S75" s="26"/>
      <c r="T75" s="26"/>
      <c r="U75" s="26"/>
      <c r="V75" s="26"/>
      <c r="Y75" s="71"/>
      <c r="Z75" s="71"/>
      <c r="AA75" s="72"/>
      <c r="AB75" s="72"/>
      <c r="AC75" s="72"/>
      <c r="AD75" s="72"/>
      <c r="AE75" s="72"/>
      <c r="AF75" s="72"/>
      <c r="AG75" s="72"/>
      <c r="AH75" s="72"/>
    </row>
    <row r="76" spans="1:34">
      <c r="A76" s="58"/>
      <c r="B76" s="59">
        <v>10</v>
      </c>
      <c r="C76" s="44">
        <v>21</v>
      </c>
      <c r="D76" s="44">
        <v>26</v>
      </c>
      <c r="E76" s="44">
        <v>53</v>
      </c>
      <c r="F76" s="4">
        <f>$F$75+$B$63*B67</f>
        <v>86</v>
      </c>
      <c r="Q76" s="36"/>
      <c r="U76" s="17"/>
      <c r="V76" s="68"/>
      <c r="Y76" s="71"/>
      <c r="Z76" s="71"/>
      <c r="AA76" s="72"/>
      <c r="AB76" s="72"/>
      <c r="AC76" s="72"/>
      <c r="AD76" s="72"/>
      <c r="AE76" s="72"/>
      <c r="AF76" s="72"/>
      <c r="AG76" s="72"/>
      <c r="AH76" s="72"/>
    </row>
    <row r="77" spans="1:34">
      <c r="A77" s="58"/>
      <c r="B77" s="59">
        <v>11</v>
      </c>
      <c r="C77" s="43">
        <v>22</v>
      </c>
      <c r="D77" s="43">
        <v>27</v>
      </c>
      <c r="E77" s="43">
        <v>55</v>
      </c>
      <c r="F77" s="4">
        <f t="shared" ref="F77:F90" si="22">$F$75+$B$63*B68</f>
        <v>94</v>
      </c>
      <c r="Q77" s="36"/>
      <c r="Y77" s="71"/>
      <c r="Z77" s="71"/>
      <c r="AA77" s="72"/>
      <c r="AB77" s="72"/>
      <c r="AC77" s="72"/>
      <c r="AD77" s="72"/>
      <c r="AE77" s="72"/>
      <c r="AF77" s="72"/>
      <c r="AG77" s="72"/>
      <c r="AH77" s="72"/>
    </row>
    <row r="78" spans="1:34">
      <c r="A78" s="58"/>
      <c r="B78" s="59">
        <v>12</v>
      </c>
      <c r="C78" s="43">
        <v>23</v>
      </c>
      <c r="D78" s="43">
        <v>28</v>
      </c>
      <c r="E78" s="43">
        <v>57</v>
      </c>
      <c r="F78" s="4">
        <f t="shared" si="22"/>
        <v>102</v>
      </c>
      <c r="Q78" s="36"/>
      <c r="U78" s="17"/>
      <c r="V78" s="68"/>
      <c r="Y78" s="71"/>
      <c r="Z78" s="71"/>
      <c r="AA78" s="72"/>
      <c r="AB78" s="72"/>
      <c r="AC78" s="72"/>
      <c r="AD78" s="72"/>
      <c r="AE78" s="72"/>
      <c r="AF78" s="72"/>
      <c r="AG78" s="72"/>
      <c r="AH78" s="72"/>
    </row>
    <row r="79" spans="1:34">
      <c r="A79" s="58"/>
      <c r="B79" s="59">
        <v>13</v>
      </c>
      <c r="C79" s="43">
        <v>24</v>
      </c>
      <c r="D79" s="43">
        <v>29</v>
      </c>
      <c r="E79" s="43">
        <v>59</v>
      </c>
      <c r="F79" s="4">
        <f t="shared" si="22"/>
        <v>110</v>
      </c>
      <c r="Q79" s="69"/>
      <c r="Y79" s="71"/>
      <c r="Z79" s="71"/>
      <c r="AA79" s="72"/>
      <c r="AB79" s="72"/>
      <c r="AC79" s="72"/>
      <c r="AD79" s="72"/>
      <c r="AE79" s="72"/>
      <c r="AF79" s="72"/>
      <c r="AG79" s="72"/>
      <c r="AH79" s="72"/>
    </row>
    <row r="80" spans="1:34">
      <c r="A80" s="58"/>
      <c r="B80" s="59">
        <v>14</v>
      </c>
      <c r="C80" s="43">
        <v>25</v>
      </c>
      <c r="D80" s="43">
        <v>30</v>
      </c>
      <c r="E80" s="43">
        <v>61</v>
      </c>
      <c r="F80" s="4">
        <f t="shared" si="22"/>
        <v>118</v>
      </c>
      <c r="Q80" s="36"/>
      <c r="U80" s="17"/>
      <c r="V80" s="68"/>
      <c r="Y80" s="71"/>
      <c r="Z80" s="71"/>
      <c r="AA80" s="72"/>
      <c r="AB80" s="72"/>
      <c r="AC80" s="72"/>
      <c r="AD80" s="72"/>
      <c r="AE80" s="72"/>
      <c r="AF80" s="72"/>
      <c r="AG80" s="72"/>
      <c r="AH80" s="72"/>
    </row>
    <row r="81" spans="1:34">
      <c r="A81" s="58"/>
      <c r="B81" s="59">
        <v>15</v>
      </c>
      <c r="C81" s="43">
        <v>26</v>
      </c>
      <c r="D81" s="43">
        <v>31</v>
      </c>
      <c r="E81" s="43">
        <v>63</v>
      </c>
      <c r="F81" s="4">
        <f t="shared" si="22"/>
        <v>126</v>
      </c>
      <c r="Q81" s="36"/>
      <c r="Y81" s="71"/>
      <c r="Z81" s="71"/>
      <c r="AA81" s="72"/>
      <c r="AB81" s="72"/>
      <c r="AC81" s="72"/>
      <c r="AD81" s="72"/>
      <c r="AE81" s="72"/>
      <c r="AF81" s="72"/>
      <c r="AG81" s="72"/>
      <c r="AH81" s="72"/>
    </row>
    <row r="82" spans="1:34">
      <c r="C82" s="43">
        <v>27</v>
      </c>
      <c r="D82" s="43">
        <v>32</v>
      </c>
      <c r="E82" s="43">
        <v>65</v>
      </c>
      <c r="F82" s="4">
        <f t="shared" si="22"/>
        <v>134</v>
      </c>
      <c r="Q82" s="36"/>
      <c r="U82" s="17"/>
      <c r="V82" s="68"/>
      <c r="Y82" s="71"/>
      <c r="Z82" s="71"/>
      <c r="AA82" s="72"/>
      <c r="AB82" s="72"/>
      <c r="AC82" s="72"/>
      <c r="AD82" s="72"/>
      <c r="AE82" s="72"/>
      <c r="AF82" s="72"/>
      <c r="AG82" s="72"/>
      <c r="AH82" s="72"/>
    </row>
    <row r="83" spans="1:34">
      <c r="C83" s="43">
        <v>28</v>
      </c>
      <c r="D83" s="43">
        <v>33</v>
      </c>
      <c r="E83" s="43">
        <v>67</v>
      </c>
      <c r="F83" s="4">
        <f t="shared" si="22"/>
        <v>142</v>
      </c>
      <c r="Q83" s="36"/>
      <c r="Y83" s="71"/>
      <c r="Z83" s="71"/>
      <c r="AA83" s="72"/>
      <c r="AB83" s="72"/>
      <c r="AC83" s="72"/>
      <c r="AD83" s="72"/>
      <c r="AE83" s="72"/>
      <c r="AF83" s="72"/>
      <c r="AG83" s="72"/>
      <c r="AH83" s="72"/>
    </row>
    <row r="84" spans="1:34">
      <c r="C84" s="43">
        <v>29</v>
      </c>
      <c r="D84" s="43">
        <v>34</v>
      </c>
      <c r="E84" s="43">
        <v>69</v>
      </c>
      <c r="F84" s="4">
        <f t="shared" si="22"/>
        <v>150</v>
      </c>
      <c r="Q84" s="36"/>
      <c r="Y84" s="71"/>
      <c r="Z84" s="71"/>
      <c r="AA84" s="72"/>
      <c r="AB84" s="72"/>
      <c r="AC84" s="72"/>
      <c r="AD84" s="72"/>
      <c r="AE84" s="72"/>
      <c r="AF84" s="72"/>
      <c r="AG84" s="72"/>
      <c r="AH84" s="72"/>
    </row>
    <row r="85" spans="1:34">
      <c r="C85" s="43">
        <v>30</v>
      </c>
      <c r="D85" s="43">
        <v>35</v>
      </c>
      <c r="E85" s="43">
        <v>71</v>
      </c>
      <c r="F85" s="4">
        <f t="shared" si="22"/>
        <v>158</v>
      </c>
      <c r="Q85" s="36"/>
      <c r="U85" s="17"/>
      <c r="V85" s="68"/>
      <c r="Y85" s="71"/>
      <c r="Z85" s="71"/>
      <c r="AA85" s="72"/>
      <c r="AB85" s="72"/>
      <c r="AC85" s="72"/>
      <c r="AD85" s="72"/>
      <c r="AE85" s="72"/>
      <c r="AF85" s="72"/>
      <c r="AG85" s="72"/>
      <c r="AH85" s="72"/>
    </row>
    <row r="86" spans="1:34">
      <c r="C86" s="43">
        <v>31</v>
      </c>
      <c r="D86" s="43">
        <v>36</v>
      </c>
      <c r="E86" s="43">
        <v>73</v>
      </c>
      <c r="F86" s="4">
        <f t="shared" si="22"/>
        <v>166</v>
      </c>
      <c r="Q86" s="36"/>
      <c r="Y86" s="71"/>
      <c r="Z86" s="71"/>
      <c r="AA86" s="72"/>
      <c r="AB86" s="72"/>
      <c r="AC86" s="72"/>
      <c r="AD86" s="72"/>
      <c r="AE86" s="72"/>
      <c r="AF86" s="72"/>
      <c r="AG86" s="72"/>
      <c r="AH86" s="72"/>
    </row>
    <row r="87" spans="1:34">
      <c r="C87" s="45">
        <v>32</v>
      </c>
      <c r="D87" s="45">
        <v>37</v>
      </c>
      <c r="E87" s="43">
        <v>75</v>
      </c>
      <c r="F87" s="4">
        <f t="shared" si="22"/>
        <v>174</v>
      </c>
      <c r="Q87" s="36"/>
      <c r="U87" s="17"/>
      <c r="V87" s="68"/>
      <c r="Y87" s="71"/>
      <c r="Z87" s="71"/>
      <c r="AA87" s="72"/>
      <c r="AB87" s="72"/>
      <c r="AC87" s="72"/>
      <c r="AD87" s="72"/>
      <c r="AE87" s="72"/>
      <c r="AF87" s="72"/>
      <c r="AG87" s="72"/>
      <c r="AH87" s="72"/>
    </row>
    <row r="88" spans="1:34">
      <c r="C88" s="45">
        <v>33</v>
      </c>
      <c r="D88" s="45">
        <v>38</v>
      </c>
      <c r="E88" s="43">
        <v>77</v>
      </c>
      <c r="F88" s="4">
        <f t="shared" si="22"/>
        <v>182</v>
      </c>
      <c r="Q88" s="36"/>
      <c r="Y88" s="71"/>
      <c r="Z88" s="71"/>
      <c r="AA88" s="72"/>
      <c r="AB88" s="72"/>
      <c r="AC88" s="72"/>
      <c r="AD88" s="72"/>
      <c r="AE88" s="72"/>
      <c r="AF88" s="72"/>
      <c r="AG88" s="72"/>
      <c r="AH88" s="72"/>
    </row>
    <row r="89" spans="1:34">
      <c r="C89" s="45">
        <v>34</v>
      </c>
      <c r="D89" s="45">
        <v>39</v>
      </c>
      <c r="E89" s="43">
        <v>79</v>
      </c>
      <c r="F89" s="4">
        <f t="shared" si="22"/>
        <v>190</v>
      </c>
      <c r="AA89" s="72"/>
      <c r="AB89" s="72"/>
      <c r="AC89" s="72"/>
      <c r="AD89" s="72"/>
      <c r="AE89" s="72"/>
      <c r="AF89" s="72"/>
      <c r="AG89" s="72"/>
      <c r="AH89" s="72"/>
    </row>
    <row r="90" spans="1:34">
      <c r="C90" s="45">
        <v>35</v>
      </c>
      <c r="D90" s="45">
        <v>40</v>
      </c>
      <c r="E90" s="43">
        <v>81</v>
      </c>
      <c r="F90" s="4">
        <f t="shared" si="22"/>
        <v>198</v>
      </c>
      <c r="AA90" s="72"/>
      <c r="AB90" s="72"/>
      <c r="AC90" s="72"/>
      <c r="AD90" s="72"/>
      <c r="AE90" s="72"/>
      <c r="AF90" s="72"/>
      <c r="AG90" s="72"/>
      <c r="AH90" s="72"/>
    </row>
    <row r="91" spans="1:34">
      <c r="C91" s="44">
        <v>38</v>
      </c>
      <c r="D91" s="44">
        <v>43</v>
      </c>
      <c r="E91" s="44">
        <v>97.5</v>
      </c>
      <c r="F91" s="4">
        <f>$F$90+B64*B67</f>
        <v>208</v>
      </c>
      <c r="AA91" s="72"/>
      <c r="AB91" s="72"/>
      <c r="AC91" s="72"/>
      <c r="AD91" s="72"/>
      <c r="AE91" s="72"/>
      <c r="AF91" s="72"/>
      <c r="AG91" s="72"/>
      <c r="AH91" s="72"/>
    </row>
    <row r="92" spans="1:34">
      <c r="C92" s="45">
        <v>39</v>
      </c>
      <c r="D92" s="45">
        <v>44</v>
      </c>
      <c r="E92" s="43">
        <v>100</v>
      </c>
      <c r="F92" s="4">
        <f t="shared" ref="F92:F105" si="23">$F$90+B65*B68</f>
        <v>222</v>
      </c>
      <c r="AA92" s="72"/>
      <c r="AB92" s="72"/>
      <c r="AC92" s="72"/>
      <c r="AD92" s="72"/>
      <c r="AE92" s="72"/>
      <c r="AF92" s="72"/>
      <c r="AG92" s="72"/>
      <c r="AH92" s="72"/>
    </row>
    <row r="93" spans="1:34">
      <c r="C93" s="45">
        <v>40</v>
      </c>
      <c r="D93" s="45">
        <v>45</v>
      </c>
      <c r="E93" s="43">
        <v>102.5</v>
      </c>
      <c r="F93" s="4">
        <f t="shared" si="23"/>
        <v>198</v>
      </c>
      <c r="AA93" s="72"/>
      <c r="AB93" s="72"/>
      <c r="AC93" s="72"/>
      <c r="AD93" s="72"/>
      <c r="AE93" s="72"/>
      <c r="AF93" s="72"/>
      <c r="AG93" s="72"/>
      <c r="AH93" s="72"/>
    </row>
    <row r="94" spans="1:34">
      <c r="C94" s="45">
        <v>41</v>
      </c>
      <c r="D94" s="45">
        <v>46</v>
      </c>
      <c r="E94" s="43">
        <v>105</v>
      </c>
      <c r="F94" s="4">
        <f t="shared" si="23"/>
        <v>202</v>
      </c>
      <c r="AA94" s="72"/>
      <c r="AB94" s="72"/>
      <c r="AC94" s="72"/>
      <c r="AD94" s="72"/>
      <c r="AE94" s="72"/>
      <c r="AF94" s="72"/>
      <c r="AG94" s="72"/>
      <c r="AH94" s="72"/>
    </row>
    <row r="95" spans="1:34">
      <c r="C95" s="45">
        <v>42</v>
      </c>
      <c r="D95" s="45">
        <v>47</v>
      </c>
      <c r="E95" s="43">
        <v>107.5</v>
      </c>
      <c r="F95" s="4">
        <f t="shared" si="23"/>
        <v>208</v>
      </c>
      <c r="AA95" s="72"/>
      <c r="AB95" s="72"/>
      <c r="AC95" s="72"/>
      <c r="AD95" s="72"/>
      <c r="AE95" s="72"/>
      <c r="AF95" s="72"/>
      <c r="AG95" s="72"/>
      <c r="AH95" s="72"/>
    </row>
    <row r="96" spans="1:34">
      <c r="C96" s="45">
        <v>43</v>
      </c>
      <c r="D96" s="45">
        <v>48</v>
      </c>
      <c r="E96" s="43">
        <v>110</v>
      </c>
      <c r="F96" s="4">
        <f t="shared" si="23"/>
        <v>216</v>
      </c>
      <c r="AA96" s="72"/>
      <c r="AB96" s="72"/>
      <c r="AC96" s="72"/>
      <c r="AD96" s="72"/>
      <c r="AE96" s="72"/>
      <c r="AF96" s="72"/>
      <c r="AG96" s="72"/>
      <c r="AH96" s="72"/>
    </row>
    <row r="97" spans="3:34">
      <c r="C97" s="45">
        <v>44</v>
      </c>
      <c r="D97" s="45">
        <v>49</v>
      </c>
      <c r="E97" s="43">
        <v>112.5</v>
      </c>
      <c r="F97" s="4">
        <f t="shared" si="23"/>
        <v>226</v>
      </c>
      <c r="AA97" s="72"/>
      <c r="AB97" s="72"/>
      <c r="AC97" s="72"/>
      <c r="AD97" s="72"/>
      <c r="AE97" s="72"/>
      <c r="AF97" s="72"/>
      <c r="AG97" s="72"/>
      <c r="AH97" s="72"/>
    </row>
    <row r="98" spans="3:34">
      <c r="C98" s="45">
        <v>45</v>
      </c>
      <c r="D98" s="45">
        <v>50</v>
      </c>
      <c r="E98" s="43">
        <v>115</v>
      </c>
      <c r="F98" s="4">
        <f t="shared" si="23"/>
        <v>238</v>
      </c>
    </row>
    <row r="99" spans="3:34">
      <c r="C99" s="45">
        <v>46</v>
      </c>
      <c r="D99" s="45">
        <v>51</v>
      </c>
      <c r="E99" s="43">
        <v>117.5</v>
      </c>
      <c r="F99" s="4">
        <f t="shared" si="23"/>
        <v>252</v>
      </c>
    </row>
    <row r="100" spans="3:34">
      <c r="C100" s="45">
        <v>47</v>
      </c>
      <c r="D100" s="45">
        <v>52</v>
      </c>
      <c r="E100" s="43">
        <v>120</v>
      </c>
      <c r="F100" s="4">
        <f t="shared" si="23"/>
        <v>268</v>
      </c>
    </row>
    <row r="101" spans="3:34">
      <c r="C101" s="45">
        <v>48</v>
      </c>
      <c r="D101" s="45">
        <v>53</v>
      </c>
      <c r="E101" s="43">
        <v>122.5</v>
      </c>
      <c r="F101" s="4">
        <f t="shared" si="23"/>
        <v>286</v>
      </c>
    </row>
    <row r="102" spans="3:34">
      <c r="C102" s="45">
        <v>49</v>
      </c>
      <c r="D102" s="45">
        <v>54</v>
      </c>
      <c r="E102" s="43">
        <v>125</v>
      </c>
      <c r="F102" s="4">
        <f t="shared" si="23"/>
        <v>306</v>
      </c>
    </row>
    <row r="103" spans="3:34">
      <c r="C103" s="45">
        <v>50</v>
      </c>
      <c r="D103" s="45">
        <v>55</v>
      </c>
      <c r="E103" s="43">
        <v>127.5</v>
      </c>
      <c r="F103" s="4">
        <f t="shared" si="23"/>
        <v>328</v>
      </c>
    </row>
    <row r="104" spans="3:34">
      <c r="C104" s="45">
        <v>51</v>
      </c>
      <c r="D104" s="45">
        <v>56</v>
      </c>
      <c r="E104" s="43">
        <v>130</v>
      </c>
      <c r="F104" s="4">
        <f t="shared" si="23"/>
        <v>352</v>
      </c>
    </row>
    <row r="105" spans="3:34">
      <c r="C105" s="45">
        <v>52</v>
      </c>
      <c r="D105" s="45">
        <v>57</v>
      </c>
      <c r="E105" s="43">
        <v>132.5</v>
      </c>
      <c r="F105" s="4">
        <f t="shared" si="23"/>
        <v>378</v>
      </c>
    </row>
    <row r="106" spans="3:34">
      <c r="C106" s="44">
        <v>55</v>
      </c>
      <c r="D106" s="44">
        <v>60</v>
      </c>
      <c r="E106" s="44">
        <v>179</v>
      </c>
      <c r="F106" s="4">
        <f>$F$105+B81</f>
        <v>393</v>
      </c>
    </row>
  </sheetData>
  <mergeCells count="9">
    <mergeCell ref="Y72:Z88"/>
    <mergeCell ref="AA72:AH97"/>
    <mergeCell ref="I72:M75"/>
    <mergeCell ref="A60:G60"/>
    <mergeCell ref="B39:G43"/>
    <mergeCell ref="B44:G48"/>
    <mergeCell ref="B49:G53"/>
    <mergeCell ref="B54:G58"/>
    <mergeCell ref="I58:M68"/>
  </mergeCells>
  <phoneticPr fontId="1" type="noConversion"/>
  <pageMargins left="0.7" right="0.7" top="0.75" bottom="0.75" header="0.3" footer="0.3"/>
  <pageSetup paperSize="9" orientation="portrait" r:id="rId1"/>
  <customProperties>
    <customPr name="DVSECTION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B7"/>
  <sheetViews>
    <sheetView workbookViewId="0">
      <selection activeCell="B45" sqref="B45"/>
    </sheetView>
  </sheetViews>
  <sheetFormatPr defaultRowHeight="13.5"/>
  <cols>
    <col min="1" max="16384" width="9" style="1"/>
  </cols>
  <sheetData>
    <row r="1" spans="1:2" s="11" customFormat="1">
      <c r="A1" s="11" t="s">
        <v>371</v>
      </c>
      <c r="B1" s="11" t="s">
        <v>22</v>
      </c>
    </row>
    <row r="2" spans="1:2">
      <c r="A2" s="1" t="s">
        <v>372</v>
      </c>
      <c r="B2" s="1" t="s">
        <v>378</v>
      </c>
    </row>
    <row r="3" spans="1:2">
      <c r="A3" s="1" t="s">
        <v>373</v>
      </c>
      <c r="B3" s="1" t="s">
        <v>379</v>
      </c>
    </row>
    <row r="4" spans="1:2">
      <c r="A4" s="1" t="s">
        <v>374</v>
      </c>
      <c r="B4" s="1" t="s">
        <v>380</v>
      </c>
    </row>
    <row r="5" spans="1:2">
      <c r="A5" s="1" t="s">
        <v>375</v>
      </c>
      <c r="B5" s="1" t="s">
        <v>381</v>
      </c>
    </row>
    <row r="6" spans="1:2">
      <c r="A6" s="1" t="s">
        <v>376</v>
      </c>
      <c r="B6" s="1" t="s">
        <v>382</v>
      </c>
    </row>
    <row r="7" spans="1:2">
      <c r="A7" s="1" t="s">
        <v>377</v>
      </c>
      <c r="B7" s="1" t="s">
        <v>383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N20"/>
  <sheetViews>
    <sheetView workbookViewId="0">
      <selection activeCell="F23" sqref="F23"/>
    </sheetView>
  </sheetViews>
  <sheetFormatPr defaultRowHeight="13.5"/>
  <cols>
    <col min="1" max="1" width="8" style="1" bestFit="1" customWidth="1"/>
    <col min="2" max="2" width="14" style="1" customWidth="1"/>
    <col min="3" max="3" width="23.25" style="3" bestFit="1" customWidth="1"/>
    <col min="4" max="4" width="9.75" style="6" bestFit="1" customWidth="1"/>
    <col min="5" max="6" width="5.75" style="1" bestFit="1" customWidth="1"/>
    <col min="7" max="8" width="14.125" style="1" bestFit="1" customWidth="1"/>
    <col min="9" max="9" width="16.375" style="1" bestFit="1" customWidth="1"/>
    <col min="10" max="10" width="7.75" style="1" bestFit="1" customWidth="1"/>
    <col min="11" max="11" width="9.75" style="1" bestFit="1" customWidth="1"/>
    <col min="12" max="12" width="14.125" style="1" bestFit="1" customWidth="1"/>
    <col min="13" max="13" width="11.875" style="1" bestFit="1" customWidth="1"/>
    <col min="14" max="14" width="9.75" style="1" bestFit="1" customWidth="1"/>
    <col min="15" max="16384" width="9" style="1"/>
  </cols>
  <sheetData>
    <row r="1" spans="1:14" s="11" customFormat="1">
      <c r="A1" s="11" t="s">
        <v>351</v>
      </c>
      <c r="B1" s="11" t="s">
        <v>361</v>
      </c>
      <c r="C1" s="12" t="s">
        <v>368</v>
      </c>
      <c r="D1" s="11" t="s">
        <v>423</v>
      </c>
      <c r="E1" s="11" t="s">
        <v>362</v>
      </c>
      <c r="F1" s="11" t="s">
        <v>354</v>
      </c>
      <c r="G1" s="11" t="s">
        <v>365</v>
      </c>
      <c r="H1" s="11" t="s">
        <v>366</v>
      </c>
      <c r="I1" s="11" t="s">
        <v>390</v>
      </c>
      <c r="J1" s="11" t="s">
        <v>363</v>
      </c>
      <c r="K1" s="11" t="s">
        <v>364</v>
      </c>
      <c r="L1" s="11" t="s">
        <v>367</v>
      </c>
      <c r="M1" s="11" t="s">
        <v>369</v>
      </c>
      <c r="N1" s="11" t="s">
        <v>370</v>
      </c>
    </row>
    <row r="2" spans="1:14">
      <c r="B2" s="1" t="s">
        <v>434</v>
      </c>
      <c r="D2" s="6" t="s">
        <v>449</v>
      </c>
    </row>
    <row r="3" spans="1:14">
      <c r="B3" s="1" t="s">
        <v>435</v>
      </c>
      <c r="D3" s="6" t="s">
        <v>450</v>
      </c>
    </row>
    <row r="4" spans="1:14">
      <c r="B4" s="1" t="s">
        <v>436</v>
      </c>
      <c r="D4" s="6" t="s">
        <v>451</v>
      </c>
    </row>
    <row r="5" spans="1:14">
      <c r="B5" s="1" t="s">
        <v>437</v>
      </c>
      <c r="D5" s="6" t="s">
        <v>449</v>
      </c>
    </row>
    <row r="6" spans="1:14">
      <c r="B6" s="1" t="s">
        <v>438</v>
      </c>
      <c r="D6" s="6" t="s">
        <v>450</v>
      </c>
    </row>
    <row r="7" spans="1:14">
      <c r="B7" s="1" t="s">
        <v>439</v>
      </c>
      <c r="D7" s="6" t="s">
        <v>451</v>
      </c>
    </row>
    <row r="8" spans="1:14">
      <c r="B8" s="1" t="s">
        <v>440</v>
      </c>
      <c r="D8" s="6" t="s">
        <v>449</v>
      </c>
    </row>
    <row r="9" spans="1:14">
      <c r="B9" s="1" t="s">
        <v>441</v>
      </c>
      <c r="D9" s="6" t="s">
        <v>450</v>
      </c>
    </row>
    <row r="10" spans="1:14">
      <c r="B10" s="1" t="s">
        <v>442</v>
      </c>
      <c r="D10" s="6" t="s">
        <v>451</v>
      </c>
    </row>
    <row r="11" spans="1:14">
      <c r="B11" s="1" t="s">
        <v>443</v>
      </c>
      <c r="D11" s="6" t="s">
        <v>449</v>
      </c>
    </row>
    <row r="12" spans="1:14">
      <c r="B12" s="1" t="s">
        <v>444</v>
      </c>
      <c r="D12" s="6" t="s">
        <v>450</v>
      </c>
    </row>
    <row r="13" spans="1:14">
      <c r="B13" s="1" t="s">
        <v>445</v>
      </c>
      <c r="D13" s="6" t="s">
        <v>451</v>
      </c>
    </row>
    <row r="14" spans="1:14">
      <c r="B14" s="1" t="s">
        <v>446</v>
      </c>
      <c r="D14" s="6" t="s">
        <v>449</v>
      </c>
    </row>
    <row r="15" spans="1:14">
      <c r="B15" s="1" t="s">
        <v>447</v>
      </c>
      <c r="D15" s="6" t="s">
        <v>450</v>
      </c>
    </row>
    <row r="16" spans="1:14">
      <c r="B16" s="1" t="s">
        <v>448</v>
      </c>
      <c r="D16" s="6" t="s">
        <v>451</v>
      </c>
    </row>
    <row r="17" spans="2:4">
      <c r="B17" s="1" t="s">
        <v>433</v>
      </c>
      <c r="D17" s="6" t="s">
        <v>449</v>
      </c>
    </row>
    <row r="18" spans="2:4">
      <c r="B18" s="1" t="s">
        <v>430</v>
      </c>
      <c r="D18" s="6" t="s">
        <v>449</v>
      </c>
    </row>
    <row r="19" spans="2:4">
      <c r="B19" s="1" t="s">
        <v>431</v>
      </c>
      <c r="D19" s="6" t="s">
        <v>449</v>
      </c>
    </row>
    <row r="20" spans="2:4">
      <c r="B20" s="1" t="s">
        <v>432</v>
      </c>
      <c r="D20" s="6" t="s">
        <v>449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C4"/>
  <sheetViews>
    <sheetView workbookViewId="0">
      <selection activeCell="F39" sqref="F39"/>
    </sheetView>
  </sheetViews>
  <sheetFormatPr defaultRowHeight="13.5"/>
  <cols>
    <col min="1" max="16384" width="9" style="6"/>
  </cols>
  <sheetData>
    <row r="1" spans="1:3" s="11" customFormat="1">
      <c r="A1" s="11" t="s">
        <v>352</v>
      </c>
      <c r="B1" s="11" t="s">
        <v>353</v>
      </c>
      <c r="C1" s="11" t="s">
        <v>354</v>
      </c>
    </row>
    <row r="2" spans="1:3">
      <c r="A2" s="6" t="s">
        <v>355</v>
      </c>
      <c r="B2" s="6" t="s">
        <v>356</v>
      </c>
    </row>
    <row r="3" spans="1:3">
      <c r="A3" s="6" t="s">
        <v>357</v>
      </c>
      <c r="B3" s="6" t="s">
        <v>358</v>
      </c>
    </row>
    <row r="4" spans="1:3">
      <c r="A4" s="6" t="s">
        <v>360</v>
      </c>
      <c r="B4" s="6" t="s">
        <v>359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O236"/>
  <sheetViews>
    <sheetView topLeftCell="A37" zoomScale="110" zoomScaleNormal="110" workbookViewId="0">
      <selection activeCell="J1" sqref="J1:O7"/>
    </sheetView>
  </sheetViews>
  <sheetFormatPr defaultRowHeight="13.5"/>
  <cols>
    <col min="1" max="1" width="10" bestFit="1" customWidth="1"/>
    <col min="2" max="3" width="14.375" style="4" bestFit="1" customWidth="1"/>
    <col min="4" max="4" width="16.625" style="4" bestFit="1" customWidth="1"/>
    <col min="5" max="5" width="9.75" bestFit="1" customWidth="1"/>
    <col min="6" max="6" width="9.75" customWidth="1"/>
    <col min="7" max="8" width="14.125" bestFit="1" customWidth="1"/>
    <col min="15" max="15" width="41.875" customWidth="1"/>
  </cols>
  <sheetData>
    <row r="1" spans="1:15" s="11" customFormat="1">
      <c r="A1" s="11" t="s">
        <v>419</v>
      </c>
      <c r="B1" s="12" t="s">
        <v>400</v>
      </c>
      <c r="C1" s="12" t="s">
        <v>420</v>
      </c>
      <c r="D1" s="12" t="s">
        <v>421</v>
      </c>
      <c r="E1" s="11" t="s">
        <v>426</v>
      </c>
      <c r="F1" s="11" t="s">
        <v>422</v>
      </c>
      <c r="G1" s="11" t="s">
        <v>424</v>
      </c>
      <c r="H1" s="11" t="s">
        <v>425</v>
      </c>
      <c r="J1" s="79" t="s">
        <v>700</v>
      </c>
      <c r="K1" s="79"/>
      <c r="L1" s="79"/>
      <c r="M1" s="79"/>
      <c r="N1" s="79"/>
      <c r="O1" s="79"/>
    </row>
    <row r="2" spans="1:15">
      <c r="B2" s="1" t="s">
        <v>434</v>
      </c>
      <c r="G2" s="9">
        <v>0.8</v>
      </c>
      <c r="J2" s="79"/>
      <c r="K2" s="79"/>
      <c r="L2" s="79"/>
      <c r="M2" s="79"/>
      <c r="N2" s="79"/>
      <c r="O2" s="79"/>
    </row>
    <row r="3" spans="1:15">
      <c r="B3" s="1" t="s">
        <v>435</v>
      </c>
      <c r="G3" s="9">
        <v>0.3</v>
      </c>
      <c r="J3" s="79"/>
      <c r="K3" s="79"/>
      <c r="L3" s="79"/>
      <c r="M3" s="79"/>
      <c r="N3" s="79"/>
      <c r="O3" s="79"/>
    </row>
    <row r="4" spans="1:15">
      <c r="B4" s="1" t="s">
        <v>436</v>
      </c>
      <c r="G4" s="9">
        <v>0.1</v>
      </c>
      <c r="J4" s="79"/>
      <c r="K4" s="79"/>
      <c r="L4" s="79"/>
      <c r="M4" s="79"/>
      <c r="N4" s="79"/>
      <c r="O4" s="79"/>
    </row>
    <row r="5" spans="1:15">
      <c r="B5" s="1" t="s">
        <v>437</v>
      </c>
      <c r="G5" s="9">
        <v>0.8</v>
      </c>
      <c r="J5" s="79"/>
      <c r="K5" s="79"/>
      <c r="L5" s="79"/>
      <c r="M5" s="79"/>
      <c r="N5" s="79"/>
      <c r="O5" s="79"/>
    </row>
    <row r="6" spans="1:15">
      <c r="B6" s="1" t="s">
        <v>438</v>
      </c>
      <c r="G6" s="9">
        <v>0.3</v>
      </c>
      <c r="J6" s="79"/>
      <c r="K6" s="79"/>
      <c r="L6" s="79"/>
      <c r="M6" s="79"/>
      <c r="N6" s="79"/>
      <c r="O6" s="79"/>
    </row>
    <row r="7" spans="1:15">
      <c r="B7" s="1" t="s">
        <v>439</v>
      </c>
      <c r="G7" s="9">
        <v>0.1</v>
      </c>
      <c r="J7" s="79"/>
      <c r="K7" s="79"/>
      <c r="L7" s="79"/>
      <c r="M7" s="79"/>
      <c r="N7" s="79"/>
      <c r="O7" s="79"/>
    </row>
    <row r="8" spans="1:15">
      <c r="B8" s="1" t="s">
        <v>440</v>
      </c>
      <c r="G8" s="9">
        <v>0.8</v>
      </c>
    </row>
    <row r="9" spans="1:15">
      <c r="B9" s="1" t="s">
        <v>441</v>
      </c>
      <c r="G9" s="9">
        <v>0.3</v>
      </c>
    </row>
    <row r="10" spans="1:15">
      <c r="B10" s="1" t="s">
        <v>442</v>
      </c>
      <c r="G10" s="9">
        <v>0.1</v>
      </c>
    </row>
    <row r="11" spans="1:15">
      <c r="B11" s="1" t="s">
        <v>443</v>
      </c>
      <c r="G11" s="9">
        <v>0.8</v>
      </c>
    </row>
    <row r="12" spans="1:15">
      <c r="B12" s="1" t="s">
        <v>444</v>
      </c>
      <c r="G12" s="9">
        <v>0.3</v>
      </c>
    </row>
    <row r="13" spans="1:15">
      <c r="B13" s="1" t="s">
        <v>445</v>
      </c>
      <c r="G13" s="9">
        <v>0.1</v>
      </c>
    </row>
    <row r="14" spans="1:15">
      <c r="B14" s="1" t="s">
        <v>446</v>
      </c>
      <c r="G14" s="9">
        <v>0.8</v>
      </c>
    </row>
    <row r="15" spans="1:15">
      <c r="B15" s="1" t="s">
        <v>447</v>
      </c>
      <c r="G15" s="9">
        <v>0.3</v>
      </c>
    </row>
    <row r="16" spans="1:15">
      <c r="B16" s="1" t="s">
        <v>448</v>
      </c>
      <c r="G16" s="9">
        <v>0.1</v>
      </c>
    </row>
    <row r="17" spans="2:8">
      <c r="B17" s="1" t="s">
        <v>433</v>
      </c>
      <c r="G17" s="9">
        <v>1</v>
      </c>
    </row>
    <row r="18" spans="2:8">
      <c r="B18" s="1" t="s">
        <v>430</v>
      </c>
      <c r="G18" s="9">
        <v>1</v>
      </c>
    </row>
    <row r="19" spans="2:8">
      <c r="B19" s="1" t="s">
        <v>431</v>
      </c>
      <c r="G19" s="9">
        <v>1</v>
      </c>
    </row>
    <row r="20" spans="2:8">
      <c r="B20" s="1" t="s">
        <v>432</v>
      </c>
      <c r="G20" s="9">
        <v>0.2</v>
      </c>
    </row>
    <row r="21" spans="2:8">
      <c r="C21" s="15" t="s">
        <v>624</v>
      </c>
      <c r="H21" s="18">
        <v>0.6</v>
      </c>
    </row>
    <row r="22" spans="2:8">
      <c r="C22" s="15" t="s">
        <v>625</v>
      </c>
      <c r="H22" s="19">
        <f>H21/5</f>
        <v>0.12</v>
      </c>
    </row>
    <row r="23" spans="2:8">
      <c r="C23" s="15" t="s">
        <v>626</v>
      </c>
      <c r="H23" s="19">
        <f t="shared" ref="H23:H29" si="0">H22/5</f>
        <v>2.4E-2</v>
      </c>
    </row>
    <row r="24" spans="2:8">
      <c r="C24" s="15" t="s">
        <v>627</v>
      </c>
      <c r="H24" s="19">
        <f t="shared" si="0"/>
        <v>4.8000000000000004E-3</v>
      </c>
    </row>
    <row r="25" spans="2:8">
      <c r="C25" s="15" t="s">
        <v>628</v>
      </c>
      <c r="H25" s="19">
        <f t="shared" si="0"/>
        <v>9.6000000000000013E-4</v>
      </c>
    </row>
    <row r="26" spans="2:8">
      <c r="C26" s="15" t="s">
        <v>629</v>
      </c>
      <c r="H26" s="19">
        <f t="shared" si="0"/>
        <v>1.9200000000000003E-4</v>
      </c>
    </row>
    <row r="27" spans="2:8">
      <c r="C27" s="15" t="s">
        <v>630</v>
      </c>
      <c r="H27" s="19">
        <f t="shared" si="0"/>
        <v>3.8400000000000005E-5</v>
      </c>
    </row>
    <row r="28" spans="2:8">
      <c r="C28" s="15" t="s">
        <v>631</v>
      </c>
      <c r="H28" s="19">
        <f t="shared" si="0"/>
        <v>7.680000000000001E-6</v>
      </c>
    </row>
    <row r="29" spans="2:8">
      <c r="C29" s="15" t="s">
        <v>632</v>
      </c>
      <c r="H29" s="19">
        <f t="shared" si="0"/>
        <v>1.5360000000000002E-6</v>
      </c>
    </row>
    <row r="30" spans="2:8">
      <c r="C30" t="s">
        <v>633</v>
      </c>
      <c r="H30" s="18">
        <v>0.6</v>
      </c>
    </row>
    <row r="31" spans="2:8">
      <c r="C31" t="s">
        <v>634</v>
      </c>
      <c r="H31" s="19">
        <f>H30/5</f>
        <v>0.12</v>
      </c>
    </row>
    <row r="32" spans="2:8">
      <c r="C32" t="s">
        <v>635</v>
      </c>
      <c r="H32" s="19">
        <f t="shared" ref="H32:H38" si="1">H31/5</f>
        <v>2.4E-2</v>
      </c>
    </row>
    <row r="33" spans="3:8">
      <c r="C33" t="s">
        <v>636</v>
      </c>
      <c r="H33" s="19">
        <f t="shared" si="1"/>
        <v>4.8000000000000004E-3</v>
      </c>
    </row>
    <row r="34" spans="3:8">
      <c r="C34" t="s">
        <v>637</v>
      </c>
      <c r="H34" s="19">
        <f t="shared" si="1"/>
        <v>9.6000000000000013E-4</v>
      </c>
    </row>
    <row r="35" spans="3:8">
      <c r="C35" t="s">
        <v>638</v>
      </c>
      <c r="H35" s="19">
        <f t="shared" si="1"/>
        <v>1.9200000000000003E-4</v>
      </c>
    </row>
    <row r="36" spans="3:8">
      <c r="C36" t="s">
        <v>639</v>
      </c>
      <c r="H36" s="19">
        <f t="shared" si="1"/>
        <v>3.8400000000000005E-5</v>
      </c>
    </row>
    <row r="37" spans="3:8">
      <c r="C37" t="s">
        <v>640</v>
      </c>
      <c r="H37" s="19">
        <f t="shared" si="1"/>
        <v>7.680000000000001E-6</v>
      </c>
    </row>
    <row r="38" spans="3:8">
      <c r="C38" s="16" t="s">
        <v>641</v>
      </c>
      <c r="H38" s="19">
        <f t="shared" si="1"/>
        <v>1.5360000000000002E-6</v>
      </c>
    </row>
    <row r="39" spans="3:8">
      <c r="C39" s="17" t="s">
        <v>642</v>
      </c>
      <c r="H39" s="18">
        <v>0.6</v>
      </c>
    </row>
    <row r="40" spans="3:8">
      <c r="C40" s="17" t="s">
        <v>643</v>
      </c>
      <c r="H40" s="19">
        <f>H39/5</f>
        <v>0.12</v>
      </c>
    </row>
    <row r="41" spans="3:8">
      <c r="C41" s="17" t="s">
        <v>644</v>
      </c>
      <c r="H41" s="19">
        <f t="shared" ref="H41:H47" si="2">H40/5</f>
        <v>2.4E-2</v>
      </c>
    </row>
    <row r="42" spans="3:8">
      <c r="C42" s="17" t="s">
        <v>645</v>
      </c>
      <c r="H42" s="19">
        <f t="shared" si="2"/>
        <v>4.8000000000000004E-3</v>
      </c>
    </row>
    <row r="43" spans="3:8">
      <c r="C43" s="17" t="s">
        <v>646</v>
      </c>
      <c r="H43" s="19">
        <f t="shared" si="2"/>
        <v>9.6000000000000013E-4</v>
      </c>
    </row>
    <row r="44" spans="3:8">
      <c r="C44" s="17" t="s">
        <v>647</v>
      </c>
      <c r="H44" s="19">
        <f t="shared" si="2"/>
        <v>1.9200000000000003E-4</v>
      </c>
    </row>
    <row r="45" spans="3:8">
      <c r="C45" s="17" t="s">
        <v>648</v>
      </c>
      <c r="H45" s="19">
        <f t="shared" si="2"/>
        <v>3.8400000000000005E-5</v>
      </c>
    </row>
    <row r="46" spans="3:8">
      <c r="C46" s="17" t="s">
        <v>649</v>
      </c>
      <c r="H46" s="19">
        <f t="shared" si="2"/>
        <v>7.680000000000001E-6</v>
      </c>
    </row>
    <row r="47" spans="3:8">
      <c r="C47" s="17" t="s">
        <v>650</v>
      </c>
      <c r="H47" s="19">
        <f t="shared" si="2"/>
        <v>1.5360000000000002E-6</v>
      </c>
    </row>
    <row r="48" spans="3:8">
      <c r="C48" s="16" t="s">
        <v>651</v>
      </c>
      <c r="H48" s="18">
        <v>0.6</v>
      </c>
    </row>
    <row r="49" spans="3:8">
      <c r="C49" t="s">
        <v>652</v>
      </c>
      <c r="H49" s="19">
        <f>H48/5</f>
        <v>0.12</v>
      </c>
    </row>
    <row r="50" spans="3:8">
      <c r="C50" t="s">
        <v>653</v>
      </c>
      <c r="H50" s="19">
        <f t="shared" ref="H50:H56" si="3">H49/5</f>
        <v>2.4E-2</v>
      </c>
    </row>
    <row r="51" spans="3:8">
      <c r="C51" t="s">
        <v>654</v>
      </c>
      <c r="H51" s="19">
        <f t="shared" si="3"/>
        <v>4.8000000000000004E-3</v>
      </c>
    </row>
    <row r="52" spans="3:8">
      <c r="C52" t="s">
        <v>655</v>
      </c>
      <c r="H52" s="19">
        <f t="shared" si="3"/>
        <v>9.6000000000000013E-4</v>
      </c>
    </row>
    <row r="53" spans="3:8">
      <c r="C53" t="s">
        <v>656</v>
      </c>
      <c r="H53" s="19">
        <f t="shared" si="3"/>
        <v>1.9200000000000003E-4</v>
      </c>
    </row>
    <row r="54" spans="3:8">
      <c r="C54" t="s">
        <v>657</v>
      </c>
      <c r="H54" s="19">
        <f t="shared" si="3"/>
        <v>3.8400000000000005E-5</v>
      </c>
    </row>
    <row r="55" spans="3:8">
      <c r="C55" t="s">
        <v>658</v>
      </c>
      <c r="H55" s="19">
        <f t="shared" si="3"/>
        <v>7.680000000000001E-6</v>
      </c>
    </row>
    <row r="56" spans="3:8">
      <c r="C56" t="s">
        <v>659</v>
      </c>
      <c r="H56" s="19">
        <f t="shared" si="3"/>
        <v>1.5360000000000002E-6</v>
      </c>
    </row>
    <row r="57" spans="3:8">
      <c r="C57" s="15" t="s">
        <v>452</v>
      </c>
      <c r="H57" s="18">
        <v>0.6</v>
      </c>
    </row>
    <row r="58" spans="3:8">
      <c r="C58" s="15" t="s">
        <v>453</v>
      </c>
      <c r="H58" s="19">
        <f>H57/5</f>
        <v>0.12</v>
      </c>
    </row>
    <row r="59" spans="3:8">
      <c r="C59" s="15" t="s">
        <v>454</v>
      </c>
      <c r="H59" s="19">
        <f t="shared" ref="H59:H65" si="4">H58/5</f>
        <v>2.4E-2</v>
      </c>
    </row>
    <row r="60" spans="3:8">
      <c r="C60" s="15" t="s">
        <v>455</v>
      </c>
      <c r="H60" s="19">
        <f t="shared" si="4"/>
        <v>4.8000000000000004E-3</v>
      </c>
    </row>
    <row r="61" spans="3:8">
      <c r="C61" s="15" t="s">
        <v>456</v>
      </c>
      <c r="H61" s="19">
        <f t="shared" si="4"/>
        <v>9.6000000000000013E-4</v>
      </c>
    </row>
    <row r="62" spans="3:8">
      <c r="C62" s="15" t="s">
        <v>457</v>
      </c>
      <c r="H62" s="19">
        <f t="shared" si="4"/>
        <v>1.9200000000000003E-4</v>
      </c>
    </row>
    <row r="63" spans="3:8">
      <c r="C63" s="15" t="s">
        <v>458</v>
      </c>
      <c r="H63" s="19">
        <f t="shared" si="4"/>
        <v>3.8400000000000005E-5</v>
      </c>
    </row>
    <row r="64" spans="3:8">
      <c r="C64" s="15" t="s">
        <v>459</v>
      </c>
      <c r="H64" s="19">
        <f t="shared" si="4"/>
        <v>7.680000000000001E-6</v>
      </c>
    </row>
    <row r="65" spans="3:8">
      <c r="C65" s="15" t="s">
        <v>460</v>
      </c>
      <c r="H65" s="19">
        <f t="shared" si="4"/>
        <v>1.5360000000000002E-6</v>
      </c>
    </row>
    <row r="66" spans="3:8">
      <c r="C66" t="s">
        <v>497</v>
      </c>
      <c r="H66" s="18">
        <v>0.6</v>
      </c>
    </row>
    <row r="67" spans="3:8">
      <c r="C67" t="s">
        <v>498</v>
      </c>
      <c r="H67" s="19">
        <f>H66/5</f>
        <v>0.12</v>
      </c>
    </row>
    <row r="68" spans="3:8">
      <c r="C68" t="s">
        <v>499</v>
      </c>
      <c r="H68" s="19">
        <f t="shared" ref="H68:H74" si="5">H67/5</f>
        <v>2.4E-2</v>
      </c>
    </row>
    <row r="69" spans="3:8">
      <c r="C69" t="s">
        <v>500</v>
      </c>
      <c r="H69" s="19">
        <f t="shared" si="5"/>
        <v>4.8000000000000004E-3</v>
      </c>
    </row>
    <row r="70" spans="3:8">
      <c r="C70" t="s">
        <v>501</v>
      </c>
      <c r="H70" s="19">
        <f t="shared" si="5"/>
        <v>9.6000000000000013E-4</v>
      </c>
    </row>
    <row r="71" spans="3:8">
      <c r="C71" t="s">
        <v>502</v>
      </c>
      <c r="H71" s="19">
        <f t="shared" si="5"/>
        <v>1.9200000000000003E-4</v>
      </c>
    </row>
    <row r="72" spans="3:8">
      <c r="C72" t="s">
        <v>503</v>
      </c>
      <c r="H72" s="19">
        <f t="shared" si="5"/>
        <v>3.8400000000000005E-5</v>
      </c>
    </row>
    <row r="73" spans="3:8">
      <c r="C73" t="s">
        <v>504</v>
      </c>
      <c r="H73" s="19">
        <f t="shared" si="5"/>
        <v>7.680000000000001E-6</v>
      </c>
    </row>
    <row r="74" spans="3:8">
      <c r="C74" t="s">
        <v>505</v>
      </c>
      <c r="H74" s="19">
        <f t="shared" si="5"/>
        <v>1.5360000000000002E-6</v>
      </c>
    </row>
    <row r="75" spans="3:8">
      <c r="C75" t="s">
        <v>560</v>
      </c>
      <c r="H75" s="18">
        <v>0.6</v>
      </c>
    </row>
    <row r="76" spans="3:8">
      <c r="C76" t="s">
        <v>561</v>
      </c>
      <c r="H76" s="19">
        <f>H75/5</f>
        <v>0.12</v>
      </c>
    </row>
    <row r="77" spans="3:8">
      <c r="C77" t="s">
        <v>562</v>
      </c>
      <c r="H77" s="19">
        <f t="shared" ref="H77:H83" si="6">H76/5</f>
        <v>2.4E-2</v>
      </c>
    </row>
    <row r="78" spans="3:8">
      <c r="C78" t="s">
        <v>563</v>
      </c>
      <c r="H78" s="19">
        <f t="shared" si="6"/>
        <v>4.8000000000000004E-3</v>
      </c>
    </row>
    <row r="79" spans="3:8">
      <c r="C79" t="s">
        <v>564</v>
      </c>
      <c r="H79" s="19">
        <f t="shared" si="6"/>
        <v>9.6000000000000013E-4</v>
      </c>
    </row>
    <row r="80" spans="3:8">
      <c r="C80" t="s">
        <v>565</v>
      </c>
      <c r="H80" s="19">
        <f t="shared" si="6"/>
        <v>1.9200000000000003E-4</v>
      </c>
    </row>
    <row r="81" spans="3:8">
      <c r="C81" t="s">
        <v>566</v>
      </c>
      <c r="H81" s="19">
        <f t="shared" si="6"/>
        <v>3.8400000000000005E-5</v>
      </c>
    </row>
    <row r="82" spans="3:8">
      <c r="C82" t="s">
        <v>567</v>
      </c>
      <c r="H82" s="19">
        <f t="shared" si="6"/>
        <v>7.680000000000001E-6</v>
      </c>
    </row>
    <row r="83" spans="3:8">
      <c r="C83" t="s">
        <v>568</v>
      </c>
      <c r="H83" s="19">
        <f t="shared" si="6"/>
        <v>1.5360000000000002E-6</v>
      </c>
    </row>
    <row r="84" spans="3:8">
      <c r="C84" t="s">
        <v>578</v>
      </c>
      <c r="H84" s="18">
        <v>0.6</v>
      </c>
    </row>
    <row r="85" spans="3:8">
      <c r="C85" t="s">
        <v>579</v>
      </c>
      <c r="H85" s="19">
        <f>H84/5</f>
        <v>0.12</v>
      </c>
    </row>
    <row r="86" spans="3:8">
      <c r="C86" t="s">
        <v>580</v>
      </c>
      <c r="H86" s="19">
        <f t="shared" ref="H86:H92" si="7">H85/5</f>
        <v>2.4E-2</v>
      </c>
    </row>
    <row r="87" spans="3:8">
      <c r="C87" t="s">
        <v>581</v>
      </c>
      <c r="H87" s="19">
        <f t="shared" si="7"/>
        <v>4.8000000000000004E-3</v>
      </c>
    </row>
    <row r="88" spans="3:8">
      <c r="C88" t="s">
        <v>582</v>
      </c>
      <c r="H88" s="19">
        <f t="shared" si="7"/>
        <v>9.6000000000000013E-4</v>
      </c>
    </row>
    <row r="89" spans="3:8">
      <c r="C89" t="s">
        <v>583</v>
      </c>
      <c r="H89" s="19">
        <f t="shared" si="7"/>
        <v>1.9200000000000003E-4</v>
      </c>
    </row>
    <row r="90" spans="3:8">
      <c r="C90" t="s">
        <v>584</v>
      </c>
      <c r="H90" s="19">
        <f t="shared" si="7"/>
        <v>3.8400000000000005E-5</v>
      </c>
    </row>
    <row r="91" spans="3:8">
      <c r="C91" t="s">
        <v>585</v>
      </c>
      <c r="H91" s="19">
        <f t="shared" si="7"/>
        <v>7.680000000000001E-6</v>
      </c>
    </row>
    <row r="92" spans="3:8">
      <c r="C92" t="s">
        <v>586</v>
      </c>
      <c r="H92" s="19">
        <f t="shared" si="7"/>
        <v>1.5360000000000002E-6</v>
      </c>
    </row>
    <row r="93" spans="3:8">
      <c r="C93" s="15" t="s">
        <v>461</v>
      </c>
      <c r="H93" s="18">
        <v>0.6</v>
      </c>
    </row>
    <row r="94" spans="3:8">
      <c r="C94" s="15" t="s">
        <v>462</v>
      </c>
      <c r="H94" s="19">
        <f>H93/5</f>
        <v>0.12</v>
      </c>
    </row>
    <row r="95" spans="3:8">
      <c r="C95" s="15" t="s">
        <v>463</v>
      </c>
      <c r="H95" s="19">
        <f t="shared" ref="H95:H101" si="8">H94/5</f>
        <v>2.4E-2</v>
      </c>
    </row>
    <row r="96" spans="3:8">
      <c r="C96" s="15" t="s">
        <v>464</v>
      </c>
      <c r="H96" s="19">
        <f t="shared" si="8"/>
        <v>4.8000000000000004E-3</v>
      </c>
    </row>
    <row r="97" spans="3:8">
      <c r="C97" s="15" t="s">
        <v>465</v>
      </c>
      <c r="H97" s="19">
        <f t="shared" si="8"/>
        <v>9.6000000000000013E-4</v>
      </c>
    </row>
    <row r="98" spans="3:8">
      <c r="C98" s="15" t="s">
        <v>466</v>
      </c>
      <c r="H98" s="19">
        <f t="shared" si="8"/>
        <v>1.9200000000000003E-4</v>
      </c>
    </row>
    <row r="99" spans="3:8">
      <c r="C99" s="15" t="s">
        <v>467</v>
      </c>
      <c r="H99" s="19">
        <f t="shared" si="8"/>
        <v>3.8400000000000005E-5</v>
      </c>
    </row>
    <row r="100" spans="3:8">
      <c r="C100" s="15" t="s">
        <v>468</v>
      </c>
      <c r="H100" s="19">
        <f t="shared" si="8"/>
        <v>7.680000000000001E-6</v>
      </c>
    </row>
    <row r="101" spans="3:8">
      <c r="C101" s="15" t="s">
        <v>469</v>
      </c>
      <c r="H101" s="19">
        <f t="shared" si="8"/>
        <v>1.5360000000000002E-6</v>
      </c>
    </row>
    <row r="102" spans="3:8">
      <c r="C102" t="s">
        <v>506</v>
      </c>
      <c r="H102" s="18">
        <v>0.6</v>
      </c>
    </row>
    <row r="103" spans="3:8">
      <c r="C103" t="s">
        <v>507</v>
      </c>
      <c r="H103" s="19">
        <f>H102/5</f>
        <v>0.12</v>
      </c>
    </row>
    <row r="104" spans="3:8">
      <c r="C104" t="s">
        <v>508</v>
      </c>
      <c r="H104" s="19">
        <f t="shared" ref="H104:H110" si="9">H103/5</f>
        <v>2.4E-2</v>
      </c>
    </row>
    <row r="105" spans="3:8">
      <c r="C105" t="s">
        <v>509</v>
      </c>
      <c r="H105" s="19">
        <f t="shared" si="9"/>
        <v>4.8000000000000004E-3</v>
      </c>
    </row>
    <row r="106" spans="3:8">
      <c r="C106" t="s">
        <v>510</v>
      </c>
      <c r="H106" s="19">
        <f t="shared" si="9"/>
        <v>9.6000000000000013E-4</v>
      </c>
    </row>
    <row r="107" spans="3:8">
      <c r="C107" t="s">
        <v>511</v>
      </c>
      <c r="H107" s="19">
        <f t="shared" si="9"/>
        <v>1.9200000000000003E-4</v>
      </c>
    </row>
    <row r="108" spans="3:8">
      <c r="C108" t="s">
        <v>512</v>
      </c>
      <c r="H108" s="19">
        <f t="shared" si="9"/>
        <v>3.8400000000000005E-5</v>
      </c>
    </row>
    <row r="109" spans="3:8">
      <c r="C109" t="s">
        <v>513</v>
      </c>
      <c r="H109" s="19">
        <f t="shared" si="9"/>
        <v>7.680000000000001E-6</v>
      </c>
    </row>
    <row r="110" spans="3:8">
      <c r="C110" t="s">
        <v>514</v>
      </c>
      <c r="H110" s="19">
        <f t="shared" si="9"/>
        <v>1.5360000000000002E-6</v>
      </c>
    </row>
    <row r="111" spans="3:8">
      <c r="C111" t="s">
        <v>542</v>
      </c>
      <c r="H111" s="18">
        <v>0.6</v>
      </c>
    </row>
    <row r="112" spans="3:8">
      <c r="C112" t="s">
        <v>543</v>
      </c>
      <c r="H112" s="19">
        <f>H111/5</f>
        <v>0.12</v>
      </c>
    </row>
    <row r="113" spans="3:8">
      <c r="C113" t="s">
        <v>544</v>
      </c>
      <c r="H113" s="19">
        <f t="shared" ref="H113:H119" si="10">H112/5</f>
        <v>2.4E-2</v>
      </c>
    </row>
    <row r="114" spans="3:8">
      <c r="C114" t="s">
        <v>545</v>
      </c>
      <c r="H114" s="19">
        <f t="shared" si="10"/>
        <v>4.8000000000000004E-3</v>
      </c>
    </row>
    <row r="115" spans="3:8">
      <c r="C115" t="s">
        <v>546</v>
      </c>
      <c r="H115" s="19">
        <f t="shared" si="10"/>
        <v>9.6000000000000013E-4</v>
      </c>
    </row>
    <row r="116" spans="3:8">
      <c r="C116" t="s">
        <v>547</v>
      </c>
      <c r="H116" s="19">
        <f t="shared" si="10"/>
        <v>1.9200000000000003E-4</v>
      </c>
    </row>
    <row r="117" spans="3:8">
      <c r="C117" t="s">
        <v>548</v>
      </c>
      <c r="H117" s="19">
        <f t="shared" si="10"/>
        <v>3.8400000000000005E-5</v>
      </c>
    </row>
    <row r="118" spans="3:8">
      <c r="C118" t="s">
        <v>549</v>
      </c>
      <c r="H118" s="19">
        <f t="shared" si="10"/>
        <v>7.680000000000001E-6</v>
      </c>
    </row>
    <row r="119" spans="3:8">
      <c r="C119" t="s">
        <v>550</v>
      </c>
      <c r="H119" s="19">
        <f t="shared" si="10"/>
        <v>1.5360000000000002E-6</v>
      </c>
    </row>
    <row r="120" spans="3:8">
      <c r="C120" t="s">
        <v>605</v>
      </c>
      <c r="H120" s="18">
        <v>0.6</v>
      </c>
    </row>
    <row r="121" spans="3:8">
      <c r="C121" t="s">
        <v>606</v>
      </c>
      <c r="H121" s="19">
        <f>H120/5</f>
        <v>0.12</v>
      </c>
    </row>
    <row r="122" spans="3:8">
      <c r="C122" t="s">
        <v>607</v>
      </c>
      <c r="H122" s="19">
        <f t="shared" ref="H122:H128" si="11">H121/5</f>
        <v>2.4E-2</v>
      </c>
    </row>
    <row r="123" spans="3:8">
      <c r="C123" t="s">
        <v>608</v>
      </c>
      <c r="H123" s="19">
        <f t="shared" si="11"/>
        <v>4.8000000000000004E-3</v>
      </c>
    </row>
    <row r="124" spans="3:8">
      <c r="C124" t="s">
        <v>609</v>
      </c>
      <c r="H124" s="19">
        <f t="shared" si="11"/>
        <v>9.6000000000000013E-4</v>
      </c>
    </row>
    <row r="125" spans="3:8">
      <c r="C125" t="s">
        <v>610</v>
      </c>
      <c r="H125" s="19">
        <f t="shared" si="11"/>
        <v>1.9200000000000003E-4</v>
      </c>
    </row>
    <row r="126" spans="3:8">
      <c r="C126" t="s">
        <v>611</v>
      </c>
      <c r="H126" s="19">
        <f t="shared" si="11"/>
        <v>3.8400000000000005E-5</v>
      </c>
    </row>
    <row r="127" spans="3:8">
      <c r="C127" t="s">
        <v>612</v>
      </c>
      <c r="H127" s="19">
        <f t="shared" si="11"/>
        <v>7.680000000000001E-6</v>
      </c>
    </row>
    <row r="128" spans="3:8">
      <c r="C128" t="s">
        <v>613</v>
      </c>
      <c r="H128" s="19">
        <f t="shared" si="11"/>
        <v>1.5360000000000002E-6</v>
      </c>
    </row>
    <row r="129" spans="3:8">
      <c r="C129" s="15" t="s">
        <v>479</v>
      </c>
      <c r="H129" s="18">
        <v>0.6</v>
      </c>
    </row>
    <row r="130" spans="3:8">
      <c r="C130" s="15" t="s">
        <v>480</v>
      </c>
      <c r="H130" s="19">
        <f>H129/5</f>
        <v>0.12</v>
      </c>
    </row>
    <row r="131" spans="3:8">
      <c r="C131" s="15" t="s">
        <v>481</v>
      </c>
      <c r="H131" s="19">
        <f t="shared" ref="H131:H137" si="12">H130/5</f>
        <v>2.4E-2</v>
      </c>
    </row>
    <row r="132" spans="3:8">
      <c r="C132" s="15" t="s">
        <v>482</v>
      </c>
      <c r="H132" s="19">
        <f t="shared" si="12"/>
        <v>4.8000000000000004E-3</v>
      </c>
    </row>
    <row r="133" spans="3:8">
      <c r="C133" s="15" t="s">
        <v>483</v>
      </c>
      <c r="H133" s="19">
        <f t="shared" si="12"/>
        <v>9.6000000000000013E-4</v>
      </c>
    </row>
    <row r="134" spans="3:8">
      <c r="C134" s="15" t="s">
        <v>484</v>
      </c>
      <c r="H134" s="19">
        <f t="shared" si="12"/>
        <v>1.9200000000000003E-4</v>
      </c>
    </row>
    <row r="135" spans="3:8">
      <c r="C135" s="15" t="s">
        <v>485</v>
      </c>
      <c r="H135" s="19">
        <f t="shared" si="12"/>
        <v>3.8400000000000005E-5</v>
      </c>
    </row>
    <row r="136" spans="3:8">
      <c r="C136" s="15" t="s">
        <v>486</v>
      </c>
      <c r="H136" s="19">
        <f t="shared" si="12"/>
        <v>7.680000000000001E-6</v>
      </c>
    </row>
    <row r="137" spans="3:8">
      <c r="C137" s="15" t="s">
        <v>487</v>
      </c>
      <c r="H137" s="19">
        <f t="shared" si="12"/>
        <v>1.5360000000000002E-6</v>
      </c>
    </row>
    <row r="138" spans="3:8">
      <c r="C138" t="s">
        <v>524</v>
      </c>
      <c r="H138" s="18">
        <v>0.6</v>
      </c>
    </row>
    <row r="139" spans="3:8">
      <c r="C139" t="s">
        <v>525</v>
      </c>
      <c r="H139" s="19">
        <f>H138/5</f>
        <v>0.12</v>
      </c>
    </row>
    <row r="140" spans="3:8">
      <c r="C140" t="s">
        <v>526</v>
      </c>
      <c r="H140" s="19">
        <f t="shared" ref="H140:H146" si="13">H139/5</f>
        <v>2.4E-2</v>
      </c>
    </row>
    <row r="141" spans="3:8">
      <c r="C141" t="s">
        <v>527</v>
      </c>
      <c r="H141" s="19">
        <f t="shared" si="13"/>
        <v>4.8000000000000004E-3</v>
      </c>
    </row>
    <row r="142" spans="3:8">
      <c r="C142" t="s">
        <v>528</v>
      </c>
      <c r="H142" s="19">
        <f t="shared" si="13"/>
        <v>9.6000000000000013E-4</v>
      </c>
    </row>
    <row r="143" spans="3:8">
      <c r="C143" t="s">
        <v>529</v>
      </c>
      <c r="H143" s="19">
        <f t="shared" si="13"/>
        <v>1.9200000000000003E-4</v>
      </c>
    </row>
    <row r="144" spans="3:8">
      <c r="C144" t="s">
        <v>530</v>
      </c>
      <c r="H144" s="19">
        <f t="shared" si="13"/>
        <v>3.8400000000000005E-5</v>
      </c>
    </row>
    <row r="145" spans="3:8">
      <c r="C145" t="s">
        <v>531</v>
      </c>
      <c r="H145" s="19">
        <f t="shared" si="13"/>
        <v>7.680000000000001E-6</v>
      </c>
    </row>
    <row r="146" spans="3:8">
      <c r="C146" t="s">
        <v>532</v>
      </c>
      <c r="H146" s="19">
        <f t="shared" si="13"/>
        <v>1.5360000000000002E-6</v>
      </c>
    </row>
    <row r="147" spans="3:8">
      <c r="C147" t="s">
        <v>660</v>
      </c>
      <c r="H147" s="18">
        <v>0.6</v>
      </c>
    </row>
    <row r="148" spans="3:8">
      <c r="C148" t="s">
        <v>661</v>
      </c>
      <c r="H148" s="19">
        <f>H147/5</f>
        <v>0.12</v>
      </c>
    </row>
    <row r="149" spans="3:8">
      <c r="C149" t="s">
        <v>662</v>
      </c>
      <c r="H149" s="19">
        <f t="shared" ref="H149:H155" si="14">H148/5</f>
        <v>2.4E-2</v>
      </c>
    </row>
    <row r="150" spans="3:8">
      <c r="C150" t="s">
        <v>663</v>
      </c>
      <c r="H150" s="19">
        <f t="shared" si="14"/>
        <v>4.8000000000000004E-3</v>
      </c>
    </row>
    <row r="151" spans="3:8">
      <c r="C151" t="s">
        <v>664</v>
      </c>
      <c r="H151" s="19">
        <f t="shared" si="14"/>
        <v>9.6000000000000013E-4</v>
      </c>
    </row>
    <row r="152" spans="3:8">
      <c r="C152" t="s">
        <v>665</v>
      </c>
      <c r="H152" s="19">
        <f t="shared" si="14"/>
        <v>1.9200000000000003E-4</v>
      </c>
    </row>
    <row r="153" spans="3:8">
      <c r="C153" t="s">
        <v>666</v>
      </c>
      <c r="H153" s="19">
        <f t="shared" si="14"/>
        <v>3.8400000000000005E-5</v>
      </c>
    </row>
    <row r="154" spans="3:8">
      <c r="C154" t="s">
        <v>667</v>
      </c>
      <c r="H154" s="19">
        <f t="shared" si="14"/>
        <v>7.680000000000001E-6</v>
      </c>
    </row>
    <row r="155" spans="3:8">
      <c r="C155" t="s">
        <v>668</v>
      </c>
      <c r="H155" s="19">
        <f t="shared" si="14"/>
        <v>1.5360000000000002E-6</v>
      </c>
    </row>
    <row r="156" spans="3:8">
      <c r="C156" t="s">
        <v>596</v>
      </c>
      <c r="H156" s="18">
        <v>0.6</v>
      </c>
    </row>
    <row r="157" spans="3:8">
      <c r="C157" t="s">
        <v>597</v>
      </c>
      <c r="H157" s="19">
        <f>H156/5</f>
        <v>0.12</v>
      </c>
    </row>
    <row r="158" spans="3:8">
      <c r="C158" t="s">
        <v>598</v>
      </c>
      <c r="H158" s="19">
        <f t="shared" ref="H158:H164" si="15">H157/5</f>
        <v>2.4E-2</v>
      </c>
    </row>
    <row r="159" spans="3:8">
      <c r="C159" t="s">
        <v>599</v>
      </c>
      <c r="H159" s="19">
        <f t="shared" si="15"/>
        <v>4.8000000000000004E-3</v>
      </c>
    </row>
    <row r="160" spans="3:8">
      <c r="C160" t="s">
        <v>600</v>
      </c>
      <c r="H160" s="19">
        <f t="shared" si="15"/>
        <v>9.6000000000000013E-4</v>
      </c>
    </row>
    <row r="161" spans="3:8">
      <c r="C161" t="s">
        <v>601</v>
      </c>
      <c r="H161" s="19">
        <f t="shared" si="15"/>
        <v>1.9200000000000003E-4</v>
      </c>
    </row>
    <row r="162" spans="3:8">
      <c r="C162" t="s">
        <v>602</v>
      </c>
      <c r="H162" s="19">
        <f t="shared" si="15"/>
        <v>3.8400000000000005E-5</v>
      </c>
    </row>
    <row r="163" spans="3:8">
      <c r="C163" t="s">
        <v>603</v>
      </c>
      <c r="H163" s="19">
        <f t="shared" si="15"/>
        <v>7.680000000000001E-6</v>
      </c>
    </row>
    <row r="164" spans="3:8">
      <c r="C164" t="s">
        <v>604</v>
      </c>
      <c r="H164" s="19">
        <f t="shared" si="15"/>
        <v>1.5360000000000002E-6</v>
      </c>
    </row>
    <row r="165" spans="3:8">
      <c r="C165" s="15" t="s">
        <v>488</v>
      </c>
      <c r="H165" s="18">
        <v>0.6</v>
      </c>
    </row>
    <row r="166" spans="3:8">
      <c r="C166" s="15" t="s">
        <v>489</v>
      </c>
      <c r="H166" s="19">
        <f>H165/5</f>
        <v>0.12</v>
      </c>
    </row>
    <row r="167" spans="3:8">
      <c r="C167" s="15" t="s">
        <v>490</v>
      </c>
      <c r="H167" s="19">
        <f t="shared" ref="H167:H173" si="16">H166/5</f>
        <v>2.4E-2</v>
      </c>
    </row>
    <row r="168" spans="3:8">
      <c r="C168" s="15" t="s">
        <v>491</v>
      </c>
      <c r="H168" s="19">
        <f t="shared" si="16"/>
        <v>4.8000000000000004E-3</v>
      </c>
    </row>
    <row r="169" spans="3:8">
      <c r="C169" s="15" t="s">
        <v>492</v>
      </c>
      <c r="H169" s="19">
        <f t="shared" si="16"/>
        <v>9.6000000000000013E-4</v>
      </c>
    </row>
    <row r="170" spans="3:8">
      <c r="C170" s="15" t="s">
        <v>493</v>
      </c>
      <c r="H170" s="19">
        <f t="shared" si="16"/>
        <v>1.9200000000000003E-4</v>
      </c>
    </row>
    <row r="171" spans="3:8">
      <c r="C171" s="15" t="s">
        <v>494</v>
      </c>
      <c r="H171" s="19">
        <f t="shared" si="16"/>
        <v>3.8400000000000005E-5</v>
      </c>
    </row>
    <row r="172" spans="3:8">
      <c r="C172" s="15" t="s">
        <v>495</v>
      </c>
      <c r="H172" s="19">
        <f t="shared" si="16"/>
        <v>7.680000000000001E-6</v>
      </c>
    </row>
    <row r="173" spans="3:8">
      <c r="C173" s="15" t="s">
        <v>496</v>
      </c>
      <c r="H173" s="19">
        <f t="shared" si="16"/>
        <v>1.5360000000000002E-6</v>
      </c>
    </row>
    <row r="174" spans="3:8">
      <c r="C174" t="s">
        <v>533</v>
      </c>
      <c r="H174" s="18">
        <v>0.6</v>
      </c>
    </row>
    <row r="175" spans="3:8">
      <c r="C175" t="s">
        <v>534</v>
      </c>
      <c r="H175" s="19">
        <f>H174/5</f>
        <v>0.12</v>
      </c>
    </row>
    <row r="176" spans="3:8">
      <c r="C176" t="s">
        <v>535</v>
      </c>
      <c r="H176" s="19">
        <f t="shared" ref="H176:H182" si="17">H175/5</f>
        <v>2.4E-2</v>
      </c>
    </row>
    <row r="177" spans="3:8">
      <c r="C177" t="s">
        <v>536</v>
      </c>
      <c r="H177" s="19">
        <f t="shared" si="17"/>
        <v>4.8000000000000004E-3</v>
      </c>
    </row>
    <row r="178" spans="3:8">
      <c r="C178" t="s">
        <v>537</v>
      </c>
      <c r="H178" s="19">
        <f t="shared" si="17"/>
        <v>9.6000000000000013E-4</v>
      </c>
    </row>
    <row r="179" spans="3:8">
      <c r="C179" t="s">
        <v>538</v>
      </c>
      <c r="H179" s="19">
        <f t="shared" si="17"/>
        <v>1.9200000000000003E-4</v>
      </c>
    </row>
    <row r="180" spans="3:8">
      <c r="C180" t="s">
        <v>539</v>
      </c>
      <c r="H180" s="19">
        <f t="shared" si="17"/>
        <v>3.8400000000000005E-5</v>
      </c>
    </row>
    <row r="181" spans="3:8">
      <c r="C181" t="s">
        <v>540</v>
      </c>
      <c r="H181" s="19">
        <f t="shared" si="17"/>
        <v>7.680000000000001E-6</v>
      </c>
    </row>
    <row r="182" spans="3:8">
      <c r="C182" t="s">
        <v>541</v>
      </c>
      <c r="H182" s="19">
        <f t="shared" si="17"/>
        <v>1.5360000000000002E-6</v>
      </c>
    </row>
    <row r="183" spans="3:8">
      <c r="C183" t="s">
        <v>569</v>
      </c>
      <c r="H183" s="18">
        <v>0.6</v>
      </c>
    </row>
    <row r="184" spans="3:8">
      <c r="C184" t="s">
        <v>570</v>
      </c>
      <c r="H184" s="19">
        <f>H183/5</f>
        <v>0.12</v>
      </c>
    </row>
    <row r="185" spans="3:8">
      <c r="C185" t="s">
        <v>571</v>
      </c>
      <c r="H185" s="19">
        <f t="shared" ref="H185:H191" si="18">H184/5</f>
        <v>2.4E-2</v>
      </c>
    </row>
    <row r="186" spans="3:8">
      <c r="C186" t="s">
        <v>572</v>
      </c>
      <c r="H186" s="19">
        <f t="shared" si="18"/>
        <v>4.8000000000000004E-3</v>
      </c>
    </row>
    <row r="187" spans="3:8">
      <c r="C187" t="s">
        <v>573</v>
      </c>
      <c r="H187" s="19">
        <f t="shared" si="18"/>
        <v>9.6000000000000013E-4</v>
      </c>
    </row>
    <row r="188" spans="3:8">
      <c r="C188" t="s">
        <v>574</v>
      </c>
      <c r="H188" s="19">
        <f t="shared" si="18"/>
        <v>1.9200000000000003E-4</v>
      </c>
    </row>
    <row r="189" spans="3:8">
      <c r="C189" t="s">
        <v>575</v>
      </c>
      <c r="H189" s="19">
        <f t="shared" si="18"/>
        <v>3.8400000000000005E-5</v>
      </c>
    </row>
    <row r="190" spans="3:8">
      <c r="C190" t="s">
        <v>576</v>
      </c>
      <c r="H190" s="19">
        <f t="shared" si="18"/>
        <v>7.680000000000001E-6</v>
      </c>
    </row>
    <row r="191" spans="3:8">
      <c r="C191" t="s">
        <v>577</v>
      </c>
      <c r="H191" s="19">
        <f t="shared" si="18"/>
        <v>1.5360000000000002E-6</v>
      </c>
    </row>
    <row r="192" spans="3:8">
      <c r="C192" t="s">
        <v>587</v>
      </c>
      <c r="H192" s="18">
        <v>0.6</v>
      </c>
    </row>
    <row r="193" spans="3:8">
      <c r="C193" t="s">
        <v>588</v>
      </c>
      <c r="H193" s="19">
        <f>H192/5</f>
        <v>0.12</v>
      </c>
    </row>
    <row r="194" spans="3:8">
      <c r="C194" t="s">
        <v>589</v>
      </c>
      <c r="H194" s="19">
        <f t="shared" ref="H194:H200" si="19">H193/5</f>
        <v>2.4E-2</v>
      </c>
    </row>
    <row r="195" spans="3:8">
      <c r="C195" t="s">
        <v>590</v>
      </c>
      <c r="H195" s="19">
        <f t="shared" si="19"/>
        <v>4.8000000000000004E-3</v>
      </c>
    </row>
    <row r="196" spans="3:8">
      <c r="C196" t="s">
        <v>591</v>
      </c>
      <c r="H196" s="19">
        <f t="shared" si="19"/>
        <v>9.6000000000000013E-4</v>
      </c>
    </row>
    <row r="197" spans="3:8">
      <c r="C197" t="s">
        <v>592</v>
      </c>
      <c r="H197" s="19">
        <f t="shared" si="19"/>
        <v>1.9200000000000003E-4</v>
      </c>
    </row>
    <row r="198" spans="3:8">
      <c r="C198" t="s">
        <v>593</v>
      </c>
      <c r="H198" s="19">
        <f t="shared" si="19"/>
        <v>3.8400000000000005E-5</v>
      </c>
    </row>
    <row r="199" spans="3:8">
      <c r="C199" t="s">
        <v>594</v>
      </c>
      <c r="H199" s="19">
        <f t="shared" si="19"/>
        <v>7.680000000000001E-6</v>
      </c>
    </row>
    <row r="200" spans="3:8">
      <c r="C200" t="s">
        <v>595</v>
      </c>
      <c r="H200" s="19">
        <f t="shared" si="19"/>
        <v>1.5360000000000002E-6</v>
      </c>
    </row>
    <row r="201" spans="3:8">
      <c r="C201" s="15" t="s">
        <v>470</v>
      </c>
      <c r="H201" s="18">
        <v>0.6</v>
      </c>
    </row>
    <row r="202" spans="3:8">
      <c r="C202" s="15" t="s">
        <v>471</v>
      </c>
      <c r="H202" s="19">
        <f>H201/5</f>
        <v>0.12</v>
      </c>
    </row>
    <row r="203" spans="3:8">
      <c r="C203" s="15" t="s">
        <v>472</v>
      </c>
      <c r="H203" s="19">
        <f t="shared" ref="H203:H209" si="20">H202/5</f>
        <v>2.4E-2</v>
      </c>
    </row>
    <row r="204" spans="3:8">
      <c r="C204" s="15" t="s">
        <v>473</v>
      </c>
      <c r="H204" s="19">
        <f t="shared" si="20"/>
        <v>4.8000000000000004E-3</v>
      </c>
    </row>
    <row r="205" spans="3:8">
      <c r="C205" s="15" t="s">
        <v>474</v>
      </c>
      <c r="H205" s="19">
        <f t="shared" si="20"/>
        <v>9.6000000000000013E-4</v>
      </c>
    </row>
    <row r="206" spans="3:8">
      <c r="C206" s="15" t="s">
        <v>475</v>
      </c>
      <c r="H206" s="19">
        <f t="shared" si="20"/>
        <v>1.9200000000000003E-4</v>
      </c>
    </row>
    <row r="207" spans="3:8">
      <c r="C207" s="15" t="s">
        <v>476</v>
      </c>
      <c r="H207" s="19">
        <f t="shared" si="20"/>
        <v>3.8400000000000005E-5</v>
      </c>
    </row>
    <row r="208" spans="3:8">
      <c r="C208" s="15" t="s">
        <v>477</v>
      </c>
      <c r="H208" s="19">
        <f t="shared" si="20"/>
        <v>7.680000000000001E-6</v>
      </c>
    </row>
    <row r="209" spans="3:8">
      <c r="C209" s="15" t="s">
        <v>478</v>
      </c>
      <c r="H209" s="19">
        <f t="shared" si="20"/>
        <v>1.5360000000000002E-6</v>
      </c>
    </row>
    <row r="210" spans="3:8">
      <c r="C210" t="s">
        <v>515</v>
      </c>
      <c r="H210" s="18">
        <v>0.6</v>
      </c>
    </row>
    <row r="211" spans="3:8">
      <c r="C211" t="s">
        <v>516</v>
      </c>
      <c r="H211" s="19">
        <f>H210/5</f>
        <v>0.12</v>
      </c>
    </row>
    <row r="212" spans="3:8">
      <c r="C212" t="s">
        <v>517</v>
      </c>
      <c r="H212" s="19">
        <f t="shared" ref="H212:H218" si="21">H211/5</f>
        <v>2.4E-2</v>
      </c>
    </row>
    <row r="213" spans="3:8">
      <c r="C213" t="s">
        <v>518</v>
      </c>
      <c r="H213" s="19">
        <f t="shared" si="21"/>
        <v>4.8000000000000004E-3</v>
      </c>
    </row>
    <row r="214" spans="3:8">
      <c r="C214" t="s">
        <v>519</v>
      </c>
      <c r="H214" s="19">
        <f t="shared" si="21"/>
        <v>9.6000000000000013E-4</v>
      </c>
    </row>
    <row r="215" spans="3:8">
      <c r="C215" t="s">
        <v>520</v>
      </c>
      <c r="H215" s="19">
        <f t="shared" si="21"/>
        <v>1.9200000000000003E-4</v>
      </c>
    </row>
    <row r="216" spans="3:8">
      <c r="C216" t="s">
        <v>521</v>
      </c>
      <c r="H216" s="19">
        <f t="shared" si="21"/>
        <v>3.8400000000000005E-5</v>
      </c>
    </row>
    <row r="217" spans="3:8">
      <c r="C217" t="s">
        <v>522</v>
      </c>
      <c r="H217" s="19">
        <f t="shared" si="21"/>
        <v>7.680000000000001E-6</v>
      </c>
    </row>
    <row r="218" spans="3:8">
      <c r="C218" t="s">
        <v>523</v>
      </c>
      <c r="H218" s="19">
        <f t="shared" si="21"/>
        <v>1.5360000000000002E-6</v>
      </c>
    </row>
    <row r="219" spans="3:8">
      <c r="C219" t="s">
        <v>551</v>
      </c>
      <c r="H219" s="18">
        <v>0.6</v>
      </c>
    </row>
    <row r="220" spans="3:8">
      <c r="C220" t="s">
        <v>552</v>
      </c>
      <c r="H220" s="19">
        <f>H219/5</f>
        <v>0.12</v>
      </c>
    </row>
    <row r="221" spans="3:8">
      <c r="C221" t="s">
        <v>553</v>
      </c>
      <c r="H221" s="19">
        <f t="shared" ref="H221:H227" si="22">H220/5</f>
        <v>2.4E-2</v>
      </c>
    </row>
    <row r="222" spans="3:8">
      <c r="C222" t="s">
        <v>554</v>
      </c>
      <c r="H222" s="19">
        <f t="shared" si="22"/>
        <v>4.8000000000000004E-3</v>
      </c>
    </row>
    <row r="223" spans="3:8">
      <c r="C223" t="s">
        <v>555</v>
      </c>
      <c r="H223" s="19">
        <f t="shared" si="22"/>
        <v>9.6000000000000013E-4</v>
      </c>
    </row>
    <row r="224" spans="3:8">
      <c r="C224" t="s">
        <v>556</v>
      </c>
      <c r="H224" s="19">
        <f t="shared" si="22"/>
        <v>1.9200000000000003E-4</v>
      </c>
    </row>
    <row r="225" spans="3:8">
      <c r="C225" t="s">
        <v>557</v>
      </c>
      <c r="H225" s="19">
        <f t="shared" si="22"/>
        <v>3.8400000000000005E-5</v>
      </c>
    </row>
    <row r="226" spans="3:8">
      <c r="C226" t="s">
        <v>558</v>
      </c>
      <c r="H226" s="19">
        <f t="shared" si="22"/>
        <v>7.680000000000001E-6</v>
      </c>
    </row>
    <row r="227" spans="3:8">
      <c r="C227" t="s">
        <v>559</v>
      </c>
      <c r="H227" s="19">
        <f t="shared" si="22"/>
        <v>1.5360000000000002E-6</v>
      </c>
    </row>
    <row r="228" spans="3:8">
      <c r="C228" t="s">
        <v>614</v>
      </c>
      <c r="H228" s="18">
        <v>0.6</v>
      </c>
    </row>
    <row r="229" spans="3:8">
      <c r="C229" t="s">
        <v>615</v>
      </c>
      <c r="H229" s="19">
        <f>H228/5</f>
        <v>0.12</v>
      </c>
    </row>
    <row r="230" spans="3:8">
      <c r="C230" t="s">
        <v>616</v>
      </c>
      <c r="H230" s="19">
        <f t="shared" ref="H230:H236" si="23">H229/5</f>
        <v>2.4E-2</v>
      </c>
    </row>
    <row r="231" spans="3:8">
      <c r="C231" t="s">
        <v>617</v>
      </c>
      <c r="H231" s="19">
        <f t="shared" si="23"/>
        <v>4.8000000000000004E-3</v>
      </c>
    </row>
    <row r="232" spans="3:8">
      <c r="C232" t="s">
        <v>618</v>
      </c>
      <c r="H232" s="19">
        <f t="shared" si="23"/>
        <v>9.6000000000000013E-4</v>
      </c>
    </row>
    <row r="233" spans="3:8">
      <c r="C233" t="s">
        <v>619</v>
      </c>
      <c r="H233" s="19">
        <f t="shared" si="23"/>
        <v>1.9200000000000003E-4</v>
      </c>
    </row>
    <row r="234" spans="3:8">
      <c r="C234" t="s">
        <v>620</v>
      </c>
      <c r="H234" s="19">
        <f t="shared" si="23"/>
        <v>3.8400000000000005E-5</v>
      </c>
    </row>
    <row r="235" spans="3:8">
      <c r="C235" t="s">
        <v>621</v>
      </c>
      <c r="H235" s="19">
        <f t="shared" si="23"/>
        <v>7.680000000000001E-6</v>
      </c>
    </row>
    <row r="236" spans="3:8">
      <c r="C236" t="s">
        <v>622</v>
      </c>
      <c r="H236" s="19">
        <f t="shared" si="23"/>
        <v>1.5360000000000002E-6</v>
      </c>
    </row>
  </sheetData>
  <mergeCells count="1">
    <mergeCell ref="J1:O7"/>
  </mergeCells>
  <phoneticPr fontId="1" type="noConversion"/>
  <pageMargins left="0.7" right="0.7" top="0.75" bottom="0.75" header="0.3" footer="0.3"/>
  <pageSetup paperSize="9" orientation="portrait" r:id="rId1"/>
  <customProperties>
    <customPr name="DVSECTION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P1"/>
  <sheetViews>
    <sheetView topLeftCell="C1" zoomScale="90" zoomScaleNormal="90" workbookViewId="0">
      <selection activeCell="I51" sqref="I51"/>
    </sheetView>
  </sheetViews>
  <sheetFormatPr defaultRowHeight="13.5"/>
  <cols>
    <col min="1" max="1" width="8" bestFit="1" customWidth="1"/>
    <col min="2" max="4" width="14.375" style="4" bestFit="1" customWidth="1"/>
    <col min="5" max="6" width="5.75" bestFit="1" customWidth="1"/>
    <col min="7" max="8" width="7.75" bestFit="1" customWidth="1"/>
    <col min="9" max="10" width="9.75" bestFit="1" customWidth="1"/>
    <col min="11" max="13" width="18.625" bestFit="1" customWidth="1"/>
    <col min="14" max="15" width="16.375" bestFit="1" customWidth="1"/>
  </cols>
  <sheetData>
    <row r="1" spans="1:16" s="11" customFormat="1">
      <c r="A1" s="11" t="s">
        <v>398</v>
      </c>
      <c r="B1" s="12" t="s">
        <v>399</v>
      </c>
      <c r="C1" s="12" t="s">
        <v>400</v>
      </c>
      <c r="D1" s="12" t="s">
        <v>401</v>
      </c>
      <c r="E1" s="11" t="s">
        <v>22</v>
      </c>
      <c r="F1" s="11" t="s">
        <v>402</v>
      </c>
      <c r="G1" s="11" t="s">
        <v>403</v>
      </c>
      <c r="H1" s="11" t="s">
        <v>404</v>
      </c>
      <c r="I1" s="11" t="s">
        <v>405</v>
      </c>
      <c r="J1" s="11" t="s">
        <v>406</v>
      </c>
      <c r="K1" s="11" t="s">
        <v>407</v>
      </c>
      <c r="L1" s="11" t="s">
        <v>409</v>
      </c>
      <c r="M1" s="11" t="s">
        <v>408</v>
      </c>
      <c r="N1" s="11" t="s">
        <v>410</v>
      </c>
      <c r="O1" s="11" t="s">
        <v>411</v>
      </c>
      <c r="P1" s="11" t="s">
        <v>412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F1"/>
  <sheetViews>
    <sheetView workbookViewId="0">
      <selection activeCell="E45" sqref="E45"/>
    </sheetView>
  </sheetViews>
  <sheetFormatPr defaultRowHeight="13.5"/>
  <cols>
    <col min="1" max="1" width="8" bestFit="1" customWidth="1"/>
    <col min="2" max="2" width="5.75" bestFit="1" customWidth="1"/>
    <col min="3" max="4" width="14.125" bestFit="1" customWidth="1"/>
    <col min="5" max="6" width="11.875" bestFit="1" customWidth="1"/>
  </cols>
  <sheetData>
    <row r="1" spans="1:6" s="11" customFormat="1">
      <c r="A1" s="11" t="s">
        <v>413</v>
      </c>
      <c r="B1" s="11" t="s">
        <v>414</v>
      </c>
      <c r="C1" s="11" t="s">
        <v>417</v>
      </c>
      <c r="D1" s="11" t="s">
        <v>418</v>
      </c>
      <c r="E1" s="11" t="s">
        <v>415</v>
      </c>
      <c r="F1" s="11" t="s">
        <v>416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IV11"/>
  <sheetViews>
    <sheetView workbookViewId="0"/>
  </sheetViews>
  <sheetFormatPr defaultRowHeight="13.5"/>
  <sheetData>
    <row r="1" spans="1:256">
      <c r="A1" t="e">
        <f>IF(角色表!1:1,"AAAAAG1nvQA=",0)</f>
        <v>#VALUE!</v>
      </c>
      <c r="B1" t="e">
        <f>AND(角色表!A1,"AAAAAG1nvQE=")</f>
        <v>#VALUE!</v>
      </c>
      <c r="C1" t="e">
        <f>AND(角色表!B1,"AAAAAG1nvQI=")</f>
        <v>#VALUE!</v>
      </c>
      <c r="D1" t="e">
        <f>AND(角色表!C1,"AAAAAG1nvQM=")</f>
        <v>#VALUE!</v>
      </c>
      <c r="E1" t="e">
        <f>AND(角色表!D1,"AAAAAG1nvQQ=")</f>
        <v>#VALUE!</v>
      </c>
      <c r="F1" t="e">
        <f>AND(角色表!E1,"AAAAAG1nvQU=")</f>
        <v>#VALUE!</v>
      </c>
      <c r="G1" t="e">
        <f>AND(角色表!F1,"AAAAAG1nvQY=")</f>
        <v>#VALUE!</v>
      </c>
      <c r="H1" t="e">
        <f>AND(角色表!G1,"AAAAAG1nvQc=")</f>
        <v>#VALUE!</v>
      </c>
      <c r="I1" t="e">
        <f>AND(角色表!H1,"AAAAAG1nvQg=")</f>
        <v>#VALUE!</v>
      </c>
      <c r="J1" t="e">
        <f>AND(角色表!I1,"AAAAAG1nvQk=")</f>
        <v>#VALUE!</v>
      </c>
      <c r="K1" t="e">
        <f>AND(角色表!J1,"AAAAAG1nvQo=")</f>
        <v>#VALUE!</v>
      </c>
      <c r="L1" t="e">
        <f>AND(角色表!K1,"AAAAAG1nvQs=")</f>
        <v>#VALUE!</v>
      </c>
      <c r="M1" t="e">
        <f>AND(角色表!L1,"AAAAAG1nvQw=")</f>
        <v>#VALUE!</v>
      </c>
      <c r="N1" t="e">
        <f>AND(角色表!M1,"AAAAAG1nvQ0=")</f>
        <v>#VALUE!</v>
      </c>
      <c r="O1" t="e">
        <f>AND(角色表!N1,"AAAAAG1nvQ4=")</f>
        <v>#VALUE!</v>
      </c>
      <c r="P1" t="e">
        <f>AND(角色表!O1,"AAAAAG1nvQ8=")</f>
        <v>#VALUE!</v>
      </c>
      <c r="Q1" t="e">
        <f>AND(角色表!P1,"AAAAAG1nvRA=")</f>
        <v>#VALUE!</v>
      </c>
      <c r="R1" t="e">
        <f>AND(角色表!Q1,"AAAAAG1nvRE=")</f>
        <v>#VALUE!</v>
      </c>
      <c r="S1" t="e">
        <f>AND(角色表!R1,"AAAAAG1nvRI=")</f>
        <v>#VALUE!</v>
      </c>
      <c r="T1">
        <f>IF(角色表!2:2,"AAAAAG1nvRM=",0)</f>
        <v>0</v>
      </c>
      <c r="U1" t="e">
        <f>AND(角色表!A2,"AAAAAG1nvRQ=")</f>
        <v>#VALUE!</v>
      </c>
      <c r="V1" t="e">
        <f>AND(角色表!B2,"AAAAAG1nvRU=")</f>
        <v>#VALUE!</v>
      </c>
      <c r="W1" t="e">
        <f>AND(角色表!C2,"AAAAAG1nvRY=")</f>
        <v>#VALUE!</v>
      </c>
      <c r="X1" t="e">
        <f>AND(角色表!D2,"AAAAAG1nvRc=")</f>
        <v>#VALUE!</v>
      </c>
      <c r="Y1" t="e">
        <f>AND(角色表!E2,"AAAAAG1nvRg=")</f>
        <v>#VALUE!</v>
      </c>
      <c r="Z1" t="e">
        <f>AND(角色表!F2,"AAAAAG1nvRk=")</f>
        <v>#VALUE!</v>
      </c>
      <c r="AA1" t="e">
        <f>AND(角色表!G2,"AAAAAG1nvRo=")</f>
        <v>#VALUE!</v>
      </c>
      <c r="AB1" t="e">
        <f>AND(角色表!H2,"AAAAAG1nvRs=")</f>
        <v>#VALUE!</v>
      </c>
      <c r="AC1" t="e">
        <f>AND(角色表!I2,"AAAAAG1nvRw=")</f>
        <v>#VALUE!</v>
      </c>
      <c r="AD1" t="e">
        <f>AND(角色表!J2,"AAAAAG1nvR0=")</f>
        <v>#VALUE!</v>
      </c>
      <c r="AE1" t="e">
        <f>AND(角色表!K2,"AAAAAG1nvR4=")</f>
        <v>#VALUE!</v>
      </c>
      <c r="AF1" t="e">
        <f>AND(角色表!L2,"AAAAAG1nvR8=")</f>
        <v>#VALUE!</v>
      </c>
      <c r="AG1" t="e">
        <f>AND(角色表!M2,"AAAAAG1nvSA=")</f>
        <v>#VALUE!</v>
      </c>
      <c r="AH1" t="e">
        <f>AND(角色表!N2,"AAAAAG1nvSE=")</f>
        <v>#VALUE!</v>
      </c>
      <c r="AI1" t="e">
        <f>AND(角色表!O2,"AAAAAG1nvSI=")</f>
        <v>#VALUE!</v>
      </c>
      <c r="AJ1" t="e">
        <f>AND(角色表!P2,"AAAAAG1nvSM=")</f>
        <v>#VALUE!</v>
      </c>
      <c r="AK1" t="e">
        <f>AND(角色表!Q2,"AAAAAG1nvSQ=")</f>
        <v>#VALUE!</v>
      </c>
      <c r="AL1" t="e">
        <f>IF(角色表!A:A,"AAAAAG1nvSU=",0)</f>
        <v>#VALUE!</v>
      </c>
      <c r="AM1" t="e">
        <f>IF(角色表!B:B,"AAAAAG1nvSY=",0)</f>
        <v>#VALUE!</v>
      </c>
      <c r="AN1" t="e">
        <f>IF(角色表!C:C,"AAAAAG1nvSc=",0)</f>
        <v>#VALUE!</v>
      </c>
      <c r="AO1" t="e">
        <f>IF(角色表!D:D,"AAAAAG1nvSg=",0)</f>
        <v>#VALUE!</v>
      </c>
      <c r="AP1" t="e">
        <f>IF(角色表!E:E,"AAAAAG1nvSk=",0)</f>
        <v>#VALUE!</v>
      </c>
      <c r="AQ1" t="e">
        <f>IF(角色表!F:F,"AAAAAG1nvSo=",0)</f>
        <v>#VALUE!</v>
      </c>
      <c r="AR1" t="e">
        <f>IF(角色表!G:G,"AAAAAG1nvSs=",0)</f>
        <v>#VALUE!</v>
      </c>
      <c r="AS1" t="e">
        <f>IF(角色表!H:H,"AAAAAG1nvSw=",0)</f>
        <v>#VALUE!</v>
      </c>
      <c r="AT1" t="e">
        <f>IF(角色表!I:I,"AAAAAG1nvS0=",0)</f>
        <v>#VALUE!</v>
      </c>
      <c r="AU1" t="e">
        <f>IF(角色表!J:J,"AAAAAG1nvS4=",0)</f>
        <v>#VALUE!</v>
      </c>
      <c r="AV1" t="e">
        <f>IF(角色表!K:K,"AAAAAG1nvS8=",0)</f>
        <v>#VALUE!</v>
      </c>
      <c r="AW1" t="e">
        <f>IF(角色表!L:L,"AAAAAG1nvTA=",0)</f>
        <v>#VALUE!</v>
      </c>
      <c r="AX1" t="e">
        <f>IF(角色表!M:M,"AAAAAG1nvTE=",0)</f>
        <v>#VALUE!</v>
      </c>
      <c r="AY1" t="e">
        <f>IF(角色表!N:N,"AAAAAG1nvTI=",0)</f>
        <v>#VALUE!</v>
      </c>
      <c r="AZ1" t="e">
        <f>IF(角色表!O:O,"AAAAAG1nvTM=",0)</f>
        <v>#VALUE!</v>
      </c>
      <c r="BA1" t="e">
        <f>IF(角色表!P:P,"AAAAAG1nvTQ=",0)</f>
        <v>#VALUE!</v>
      </c>
      <c r="BB1" t="e">
        <f>IF(角色表!Q:Q,"AAAAAG1nvTU=",0)</f>
        <v>#VALUE!</v>
      </c>
      <c r="BC1" t="e">
        <f>IF(角色表!R:R,"AAAAAG1nvTY=",0)</f>
        <v>#VALUE!</v>
      </c>
      <c r="BD1">
        <f>IF(职业表!1:1,"AAAAAG1nvTc=",0)</f>
        <v>0</v>
      </c>
      <c r="BE1" t="e">
        <f>AND(职业表!A1,"AAAAAG1nvTg=")</f>
        <v>#VALUE!</v>
      </c>
      <c r="BF1" t="e">
        <f>AND(职业表!B1,"AAAAAG1nvTk=")</f>
        <v>#VALUE!</v>
      </c>
      <c r="BG1" t="e">
        <f>AND(职业表!C1,"AAAAAG1nvTo=")</f>
        <v>#VALUE!</v>
      </c>
      <c r="BH1">
        <f>IF(职业表!2:2,"AAAAAG1nvTs=",0)</f>
        <v>0</v>
      </c>
      <c r="BI1" t="e">
        <f>AND(职业表!A2,"AAAAAG1nvTw=")</f>
        <v>#VALUE!</v>
      </c>
      <c r="BJ1" t="e">
        <f>AND(职业表!B2,"AAAAAG1nvT0=")</f>
        <v>#VALUE!</v>
      </c>
      <c r="BK1">
        <f>IF(职业表!3:3,"AAAAAG1nvT4=",0)</f>
        <v>0</v>
      </c>
      <c r="BL1" t="e">
        <f>AND(职业表!A3,"AAAAAG1nvT8=")</f>
        <v>#VALUE!</v>
      </c>
      <c r="BM1" t="e">
        <f>AND(职业表!B3,"AAAAAG1nvUA=")</f>
        <v>#VALUE!</v>
      </c>
      <c r="BN1">
        <f>IF(职业表!4:4,"AAAAAG1nvUE=",0)</f>
        <v>0</v>
      </c>
      <c r="BO1" t="e">
        <f>AND(职业表!A4,"AAAAAG1nvUI=")</f>
        <v>#VALUE!</v>
      </c>
      <c r="BP1" t="e">
        <f>AND(职业表!B4,"AAAAAG1nvUM=")</f>
        <v>#VALUE!</v>
      </c>
      <c r="BQ1">
        <f>IF(职业表!5:5,"AAAAAG1nvUQ=",0)</f>
        <v>0</v>
      </c>
      <c r="BR1" t="e">
        <f>AND(职业表!A5,"AAAAAG1nvUU=")</f>
        <v>#VALUE!</v>
      </c>
      <c r="BS1" t="e">
        <f>AND(职业表!B5,"AAAAAG1nvUY=")</f>
        <v>#VALUE!</v>
      </c>
      <c r="BT1" t="e">
        <f>IF(职业表!A:A,"AAAAAG1nvUc=",0)</f>
        <v>#VALUE!</v>
      </c>
      <c r="BU1" t="e">
        <f>IF(职业表!B:B,"AAAAAG1nvUg=",0)</f>
        <v>#VALUE!</v>
      </c>
      <c r="BV1" t="e">
        <f>IF(职业表!C:C,"AAAAAG1nvUk=",0)</f>
        <v>#VALUE!</v>
      </c>
      <c r="BW1">
        <f>IF(等级属性!1:1,"AAAAAG1nvUo=",0)</f>
        <v>0</v>
      </c>
      <c r="BX1" t="e">
        <f>AND(等级属性!A1,"AAAAAG1nvUs=")</f>
        <v>#VALUE!</v>
      </c>
      <c r="BY1" t="e">
        <f>AND(等级属性!B1,"AAAAAG1nvUw=")</f>
        <v>#VALUE!</v>
      </c>
      <c r="BZ1" t="e">
        <f>AND(等级属性!C1,"AAAAAG1nvU0=")</f>
        <v>#VALUE!</v>
      </c>
      <c r="CA1" t="e">
        <f>AND(等级属性!D1,"AAAAAG1nvU4=")</f>
        <v>#VALUE!</v>
      </c>
      <c r="CB1" t="e">
        <f>AND(等级属性!E1,"AAAAAG1nvU8=")</f>
        <v>#VALUE!</v>
      </c>
      <c r="CC1" t="e">
        <f>AND(等级属性!F1,"AAAAAG1nvVA=")</f>
        <v>#VALUE!</v>
      </c>
      <c r="CD1" t="e">
        <f>AND(等级属性!G1,"AAAAAG1nvVE=")</f>
        <v>#VALUE!</v>
      </c>
      <c r="CE1" t="e">
        <f>AND(等级属性!H1,"AAAAAG1nvVI=")</f>
        <v>#VALUE!</v>
      </c>
      <c r="CF1" t="e">
        <f>AND(等级属性!I1,"AAAAAG1nvVM=")</f>
        <v>#VALUE!</v>
      </c>
      <c r="CG1" t="e">
        <f>AND(等级属性!J1,"AAAAAG1nvVQ=")</f>
        <v>#VALUE!</v>
      </c>
      <c r="CH1" t="e">
        <f>AND(等级属性!K1,"AAAAAG1nvVU=")</f>
        <v>#VALUE!</v>
      </c>
      <c r="CI1" t="e">
        <f>AND(等级属性!L1,"AAAAAG1nvVY=")</f>
        <v>#VALUE!</v>
      </c>
      <c r="CJ1" t="e">
        <f>AND(等级属性!M1,"AAAAAG1nvVc=")</f>
        <v>#VALUE!</v>
      </c>
      <c r="CK1" t="e">
        <f>AND(等级属性!N1,"AAAAAG1nvVg=")</f>
        <v>#VALUE!</v>
      </c>
      <c r="CL1" t="e">
        <f>AND(等级属性!O1,"AAAAAG1nvVk=")</f>
        <v>#VALUE!</v>
      </c>
      <c r="CM1" t="e">
        <f>AND(等级属性!P1,"AAAAAG1nvVo=")</f>
        <v>#VALUE!</v>
      </c>
      <c r="CN1" t="e">
        <f>AND(等级属性!Q1,"AAAAAG1nvVs=")</f>
        <v>#VALUE!</v>
      </c>
      <c r="CO1" t="e">
        <f>AND(等级属性!R1,"AAAAAG1nvVw=")</f>
        <v>#VALUE!</v>
      </c>
      <c r="CP1" t="e">
        <f>AND(等级属性!S1,"AAAAAG1nvV0=")</f>
        <v>#VALUE!</v>
      </c>
      <c r="CQ1" t="e">
        <f>AND(等级属性!T1,"AAAAAG1nvV4=")</f>
        <v>#VALUE!</v>
      </c>
      <c r="CR1" t="e">
        <f>AND(等级属性!U1,"AAAAAG1nvV8=")</f>
        <v>#VALUE!</v>
      </c>
      <c r="CS1" t="e">
        <f>AND(等级属性!V1,"AAAAAG1nvWA=")</f>
        <v>#VALUE!</v>
      </c>
      <c r="CT1" t="e">
        <f>AND(等级属性!W1,"AAAAAG1nvWE=")</f>
        <v>#VALUE!</v>
      </c>
      <c r="CU1">
        <f>IF(等级属性!2:2,"AAAAAG1nvWI=",0)</f>
        <v>0</v>
      </c>
      <c r="CV1" t="e">
        <f>AND(等级属性!A2,"AAAAAG1nvWM=")</f>
        <v>#VALUE!</v>
      </c>
      <c r="CW1" t="e">
        <f>AND(等级属性!B2,"AAAAAG1nvWQ=")</f>
        <v>#VALUE!</v>
      </c>
      <c r="CX1" t="e">
        <f>AND(等级属性!C2,"AAAAAG1nvWU=")</f>
        <v>#VALUE!</v>
      </c>
      <c r="CY1" t="e">
        <f>AND(等级属性!D2,"AAAAAG1nvWY=")</f>
        <v>#VALUE!</v>
      </c>
      <c r="CZ1" t="e">
        <f>AND(等级属性!E2,"AAAAAG1nvWc=")</f>
        <v>#VALUE!</v>
      </c>
      <c r="DA1" t="e">
        <f>AND(等级属性!F2,"AAAAAG1nvWg=")</f>
        <v>#VALUE!</v>
      </c>
      <c r="DB1" t="e">
        <f>AND(等级属性!G2,"AAAAAG1nvWk=")</f>
        <v>#VALUE!</v>
      </c>
      <c r="DC1" t="e">
        <f>AND(等级属性!H2,"AAAAAG1nvWo=")</f>
        <v>#VALUE!</v>
      </c>
      <c r="DD1" t="e">
        <f>AND(等级属性!I2,"AAAAAG1nvWs=")</f>
        <v>#VALUE!</v>
      </c>
      <c r="DE1" t="e">
        <f>AND(等级属性!J2,"AAAAAG1nvWw=")</f>
        <v>#VALUE!</v>
      </c>
      <c r="DF1" t="e">
        <f>AND(等级属性!K2,"AAAAAG1nvW0=")</f>
        <v>#VALUE!</v>
      </c>
      <c r="DG1" t="e">
        <f>AND(等级属性!L2,"AAAAAG1nvW4=")</f>
        <v>#VALUE!</v>
      </c>
      <c r="DH1" t="e">
        <f>AND(等级属性!M2,"AAAAAG1nvW8=")</f>
        <v>#VALUE!</v>
      </c>
      <c r="DI1" t="e">
        <f>AND(等级属性!N2,"AAAAAG1nvXA=")</f>
        <v>#VALUE!</v>
      </c>
      <c r="DJ1" t="e">
        <f>AND(等级属性!O2,"AAAAAG1nvXE=")</f>
        <v>#VALUE!</v>
      </c>
      <c r="DK1" t="e">
        <f>AND(等级属性!P2,"AAAAAG1nvXI=")</f>
        <v>#VALUE!</v>
      </c>
      <c r="DL1" t="e">
        <f>AND(等级属性!Q2,"AAAAAG1nvXM=")</f>
        <v>#VALUE!</v>
      </c>
      <c r="DM1" t="e">
        <f>AND(等级属性!R2,"AAAAAG1nvXQ=")</f>
        <v>#VALUE!</v>
      </c>
      <c r="DN1" t="e">
        <f>AND(等级属性!S2,"AAAAAG1nvXU=")</f>
        <v>#VALUE!</v>
      </c>
      <c r="DO1">
        <f>IF(等级属性!3:3,"AAAAAG1nvXY=",0)</f>
        <v>0</v>
      </c>
      <c r="DP1" t="e">
        <f>AND(等级属性!A3,"AAAAAG1nvXc=")</f>
        <v>#VALUE!</v>
      </c>
      <c r="DQ1" t="e">
        <f>AND(等级属性!B3,"AAAAAG1nvXg=")</f>
        <v>#VALUE!</v>
      </c>
      <c r="DR1" t="e">
        <f>AND(等级属性!C3,"AAAAAG1nvXk=")</f>
        <v>#VALUE!</v>
      </c>
      <c r="DS1" t="e">
        <f>AND(等级属性!D3,"AAAAAG1nvXo=")</f>
        <v>#VALUE!</v>
      </c>
      <c r="DT1" t="e">
        <f>AND(等级属性!E3,"AAAAAG1nvXs=")</f>
        <v>#VALUE!</v>
      </c>
      <c r="DU1" t="e">
        <f>AND(等级属性!F3,"AAAAAG1nvXw=")</f>
        <v>#VALUE!</v>
      </c>
      <c r="DV1" t="e">
        <f>AND(等级属性!G3,"AAAAAG1nvX0=")</f>
        <v>#VALUE!</v>
      </c>
      <c r="DW1" t="e">
        <f>AND(等级属性!H3,"AAAAAG1nvX4=")</f>
        <v>#VALUE!</v>
      </c>
      <c r="DX1" t="e">
        <f>AND(等级属性!I3,"AAAAAG1nvX8=")</f>
        <v>#VALUE!</v>
      </c>
      <c r="DY1" t="e">
        <f>AND(等级属性!J3,"AAAAAG1nvYA=")</f>
        <v>#VALUE!</v>
      </c>
      <c r="DZ1" t="e">
        <f>AND(等级属性!K3,"AAAAAG1nvYE=")</f>
        <v>#VALUE!</v>
      </c>
      <c r="EA1" t="e">
        <f>AND(等级属性!L3,"AAAAAG1nvYI=")</f>
        <v>#VALUE!</v>
      </c>
      <c r="EB1" t="e">
        <f>AND(等级属性!M3,"AAAAAG1nvYM=")</f>
        <v>#VALUE!</v>
      </c>
      <c r="EC1" t="e">
        <f>AND(等级属性!N3,"AAAAAG1nvYQ=")</f>
        <v>#VALUE!</v>
      </c>
      <c r="ED1" t="e">
        <f>AND(等级属性!O3,"AAAAAG1nvYU=")</f>
        <v>#VALUE!</v>
      </c>
      <c r="EE1" t="e">
        <f>AND(等级属性!P3,"AAAAAG1nvYY=")</f>
        <v>#VALUE!</v>
      </c>
      <c r="EF1" t="e">
        <f>AND(等级属性!Q3,"AAAAAG1nvYc=")</f>
        <v>#VALUE!</v>
      </c>
      <c r="EG1" t="e">
        <f>AND(等级属性!R3,"AAAAAG1nvYg=")</f>
        <v>#VALUE!</v>
      </c>
      <c r="EH1" t="e">
        <f>AND(等级属性!S3,"AAAAAG1nvYk=")</f>
        <v>#VALUE!</v>
      </c>
      <c r="EI1">
        <f>IF(等级属性!4:4,"AAAAAG1nvYo=",0)</f>
        <v>0</v>
      </c>
      <c r="EJ1" t="e">
        <f>AND(等级属性!A4,"AAAAAG1nvYs=")</f>
        <v>#VALUE!</v>
      </c>
      <c r="EK1" t="e">
        <f>AND(等级属性!B4,"AAAAAG1nvYw=")</f>
        <v>#VALUE!</v>
      </c>
      <c r="EL1" t="e">
        <f>AND(等级属性!C4,"AAAAAG1nvY0=")</f>
        <v>#VALUE!</v>
      </c>
      <c r="EM1" t="e">
        <f>AND(等级属性!D4,"AAAAAG1nvY4=")</f>
        <v>#VALUE!</v>
      </c>
      <c r="EN1" t="e">
        <f>AND(等级属性!E4,"AAAAAG1nvY8=")</f>
        <v>#VALUE!</v>
      </c>
      <c r="EO1" t="e">
        <f>AND(等级属性!F4,"AAAAAG1nvZA=")</f>
        <v>#VALUE!</v>
      </c>
      <c r="EP1" t="e">
        <f>AND(等级属性!G4,"AAAAAG1nvZE=")</f>
        <v>#VALUE!</v>
      </c>
      <c r="EQ1" t="e">
        <f>AND(等级属性!H4,"AAAAAG1nvZI=")</f>
        <v>#VALUE!</v>
      </c>
      <c r="ER1" t="e">
        <f>AND(等级属性!I4,"AAAAAG1nvZM=")</f>
        <v>#VALUE!</v>
      </c>
      <c r="ES1" t="e">
        <f>AND(等级属性!J4,"AAAAAG1nvZQ=")</f>
        <v>#VALUE!</v>
      </c>
      <c r="ET1" t="e">
        <f>AND(等级属性!K4,"AAAAAG1nvZU=")</f>
        <v>#VALUE!</v>
      </c>
      <c r="EU1" t="e">
        <f>AND(等级属性!L4,"AAAAAG1nvZY=")</f>
        <v>#VALUE!</v>
      </c>
      <c r="EV1" t="e">
        <f>AND(等级属性!M4,"AAAAAG1nvZc=")</f>
        <v>#VALUE!</v>
      </c>
      <c r="EW1" t="e">
        <f>AND(等级属性!N4,"AAAAAG1nvZg=")</f>
        <v>#VALUE!</v>
      </c>
      <c r="EX1" t="e">
        <f>AND(等级属性!O4,"AAAAAG1nvZk=")</f>
        <v>#VALUE!</v>
      </c>
      <c r="EY1" t="e">
        <f>AND(等级属性!P4,"AAAAAG1nvZo=")</f>
        <v>#VALUE!</v>
      </c>
      <c r="EZ1" t="e">
        <f>AND(等级属性!Q4,"AAAAAG1nvZs=")</f>
        <v>#VALUE!</v>
      </c>
      <c r="FA1" t="e">
        <f>AND(等级属性!R4,"AAAAAG1nvZw=")</f>
        <v>#VALUE!</v>
      </c>
      <c r="FB1" t="e">
        <f>AND(等级属性!S4,"AAAAAG1nvZ0=")</f>
        <v>#VALUE!</v>
      </c>
      <c r="FC1">
        <f>IF(等级属性!5:5,"AAAAAG1nvZ4=",0)</f>
        <v>0</v>
      </c>
      <c r="FD1" t="e">
        <f>AND(等级属性!A5,"AAAAAG1nvZ8=")</f>
        <v>#VALUE!</v>
      </c>
      <c r="FE1" t="e">
        <f>AND(等级属性!B5,"AAAAAG1nvaA=")</f>
        <v>#VALUE!</v>
      </c>
      <c r="FF1" t="e">
        <f>AND(等级属性!C5,"AAAAAG1nvaE=")</f>
        <v>#VALUE!</v>
      </c>
      <c r="FG1" t="e">
        <f>AND(等级属性!D5,"AAAAAG1nvaI=")</f>
        <v>#VALUE!</v>
      </c>
      <c r="FH1" t="e">
        <f>AND(等级属性!E5,"AAAAAG1nvaM=")</f>
        <v>#VALUE!</v>
      </c>
      <c r="FI1" t="e">
        <f>AND(等级属性!F5,"AAAAAG1nvaQ=")</f>
        <v>#VALUE!</v>
      </c>
      <c r="FJ1" t="e">
        <f>AND(等级属性!G5,"AAAAAG1nvaU=")</f>
        <v>#VALUE!</v>
      </c>
      <c r="FK1" t="e">
        <f>AND(等级属性!H5,"AAAAAG1nvaY=")</f>
        <v>#VALUE!</v>
      </c>
      <c r="FL1" t="e">
        <f>AND(等级属性!I5,"AAAAAG1nvac=")</f>
        <v>#VALUE!</v>
      </c>
      <c r="FM1" t="e">
        <f>AND(等级属性!J5,"AAAAAG1nvag=")</f>
        <v>#VALUE!</v>
      </c>
      <c r="FN1" t="e">
        <f>AND(等级属性!K5,"AAAAAG1nvak=")</f>
        <v>#VALUE!</v>
      </c>
      <c r="FO1" t="e">
        <f>AND(等级属性!L5,"AAAAAG1nvao=")</f>
        <v>#VALUE!</v>
      </c>
      <c r="FP1" t="e">
        <f>AND(等级属性!M5,"AAAAAG1nvas=")</f>
        <v>#VALUE!</v>
      </c>
      <c r="FQ1" t="e">
        <f>AND(等级属性!N5,"AAAAAG1nvaw=")</f>
        <v>#VALUE!</v>
      </c>
      <c r="FR1" t="e">
        <f>AND(等级属性!O5,"AAAAAG1nva0=")</f>
        <v>#VALUE!</v>
      </c>
      <c r="FS1" t="e">
        <f>AND(等级属性!P5,"AAAAAG1nva4=")</f>
        <v>#VALUE!</v>
      </c>
      <c r="FT1" t="e">
        <f>AND(等级属性!Q5,"AAAAAG1nva8=")</f>
        <v>#VALUE!</v>
      </c>
      <c r="FU1" t="e">
        <f>AND(等级属性!R5,"AAAAAG1nvbA=")</f>
        <v>#VALUE!</v>
      </c>
      <c r="FV1" t="e">
        <f>AND(等级属性!S5,"AAAAAG1nvbE=")</f>
        <v>#VALUE!</v>
      </c>
      <c r="FW1">
        <f>IF(等级属性!6:6,"AAAAAG1nvbI=",0)</f>
        <v>0</v>
      </c>
      <c r="FX1" t="e">
        <f>AND(等级属性!A6,"AAAAAG1nvbM=")</f>
        <v>#VALUE!</v>
      </c>
      <c r="FY1" t="e">
        <f>AND(等级属性!B6,"AAAAAG1nvbQ=")</f>
        <v>#VALUE!</v>
      </c>
      <c r="FZ1" t="e">
        <f>AND(等级属性!C6,"AAAAAG1nvbU=")</f>
        <v>#VALUE!</v>
      </c>
      <c r="GA1" t="e">
        <f>AND(等级属性!D6,"AAAAAG1nvbY=")</f>
        <v>#VALUE!</v>
      </c>
      <c r="GB1" t="e">
        <f>AND(等级属性!E6,"AAAAAG1nvbc=")</f>
        <v>#VALUE!</v>
      </c>
      <c r="GC1" t="e">
        <f>AND(等级属性!F6,"AAAAAG1nvbg=")</f>
        <v>#VALUE!</v>
      </c>
      <c r="GD1" t="e">
        <f>AND(等级属性!G6,"AAAAAG1nvbk=")</f>
        <v>#VALUE!</v>
      </c>
      <c r="GE1" t="e">
        <f>AND(等级属性!H6,"AAAAAG1nvbo=")</f>
        <v>#VALUE!</v>
      </c>
      <c r="GF1" t="e">
        <f>AND(等级属性!I6,"AAAAAG1nvbs=")</f>
        <v>#VALUE!</v>
      </c>
      <c r="GG1" t="e">
        <f>AND(等级属性!J6,"AAAAAG1nvbw=")</f>
        <v>#VALUE!</v>
      </c>
      <c r="GH1" t="e">
        <f>AND(等级属性!K6,"AAAAAG1nvb0=")</f>
        <v>#VALUE!</v>
      </c>
      <c r="GI1" t="e">
        <f>AND(等级属性!L6,"AAAAAG1nvb4=")</f>
        <v>#VALUE!</v>
      </c>
      <c r="GJ1" t="e">
        <f>AND(等级属性!M6,"AAAAAG1nvb8=")</f>
        <v>#VALUE!</v>
      </c>
      <c r="GK1" t="e">
        <f>AND(等级属性!N6,"AAAAAG1nvcA=")</f>
        <v>#VALUE!</v>
      </c>
      <c r="GL1" t="e">
        <f>AND(等级属性!O6,"AAAAAG1nvcE=")</f>
        <v>#VALUE!</v>
      </c>
      <c r="GM1" t="e">
        <f>AND(等级属性!P6,"AAAAAG1nvcI=")</f>
        <v>#VALUE!</v>
      </c>
      <c r="GN1" t="e">
        <f>AND(等级属性!Q6,"AAAAAG1nvcM=")</f>
        <v>#VALUE!</v>
      </c>
      <c r="GO1" t="e">
        <f>AND(等级属性!R6,"AAAAAG1nvcQ=")</f>
        <v>#VALUE!</v>
      </c>
      <c r="GP1" t="e">
        <f>AND(等级属性!S6,"AAAAAG1nvcU=")</f>
        <v>#VALUE!</v>
      </c>
      <c r="GQ1">
        <f>IF(等级属性!7:7,"AAAAAG1nvcY=",0)</f>
        <v>0</v>
      </c>
      <c r="GR1" t="e">
        <f>AND(等级属性!A7,"AAAAAG1nvcc=")</f>
        <v>#VALUE!</v>
      </c>
      <c r="GS1" t="e">
        <f>AND(等级属性!B7,"AAAAAG1nvcg=")</f>
        <v>#VALUE!</v>
      </c>
      <c r="GT1" t="e">
        <f>AND(等级属性!C7,"AAAAAG1nvck=")</f>
        <v>#VALUE!</v>
      </c>
      <c r="GU1" t="e">
        <f>AND(等级属性!D7,"AAAAAG1nvco=")</f>
        <v>#VALUE!</v>
      </c>
      <c r="GV1" t="e">
        <f>AND(等级属性!E7,"AAAAAG1nvcs=")</f>
        <v>#VALUE!</v>
      </c>
      <c r="GW1" t="e">
        <f>AND(等级属性!F7,"AAAAAG1nvcw=")</f>
        <v>#VALUE!</v>
      </c>
      <c r="GX1" t="e">
        <f>AND(等级属性!G7,"AAAAAG1nvc0=")</f>
        <v>#VALUE!</v>
      </c>
      <c r="GY1" t="e">
        <f>AND(等级属性!H7,"AAAAAG1nvc4=")</f>
        <v>#VALUE!</v>
      </c>
      <c r="GZ1" t="e">
        <f>AND(等级属性!I7,"AAAAAG1nvc8=")</f>
        <v>#VALUE!</v>
      </c>
      <c r="HA1" t="e">
        <f>AND(等级属性!J7,"AAAAAG1nvdA=")</f>
        <v>#VALUE!</v>
      </c>
      <c r="HB1" t="e">
        <f>AND(等级属性!K7,"AAAAAG1nvdE=")</f>
        <v>#VALUE!</v>
      </c>
      <c r="HC1" t="e">
        <f>AND(等级属性!L7,"AAAAAG1nvdI=")</f>
        <v>#VALUE!</v>
      </c>
      <c r="HD1" t="e">
        <f>AND(等级属性!M7,"AAAAAG1nvdM=")</f>
        <v>#VALUE!</v>
      </c>
      <c r="HE1" t="e">
        <f>AND(等级属性!N7,"AAAAAG1nvdQ=")</f>
        <v>#VALUE!</v>
      </c>
      <c r="HF1" t="e">
        <f>AND(等级属性!O7,"AAAAAG1nvdU=")</f>
        <v>#VALUE!</v>
      </c>
      <c r="HG1" t="e">
        <f>AND(等级属性!P7,"AAAAAG1nvdY=")</f>
        <v>#VALUE!</v>
      </c>
      <c r="HH1" t="e">
        <f>AND(等级属性!Q7,"AAAAAG1nvdc=")</f>
        <v>#VALUE!</v>
      </c>
      <c r="HI1" t="e">
        <f>AND(等级属性!R7,"AAAAAG1nvdg=")</f>
        <v>#VALUE!</v>
      </c>
      <c r="HJ1" t="e">
        <f>AND(等级属性!S7,"AAAAAG1nvdk=")</f>
        <v>#VALUE!</v>
      </c>
      <c r="HK1">
        <f>IF(等级属性!8:8,"AAAAAG1nvdo=",0)</f>
        <v>0</v>
      </c>
      <c r="HL1" t="e">
        <f>AND(等级属性!A8,"AAAAAG1nvds=")</f>
        <v>#VALUE!</v>
      </c>
      <c r="HM1" t="e">
        <f>AND(等级属性!B8,"AAAAAG1nvdw=")</f>
        <v>#VALUE!</v>
      </c>
      <c r="HN1" t="e">
        <f>AND(等级属性!C8,"AAAAAG1nvd0=")</f>
        <v>#VALUE!</v>
      </c>
      <c r="HO1" t="e">
        <f>AND(等级属性!D8,"AAAAAG1nvd4=")</f>
        <v>#VALUE!</v>
      </c>
      <c r="HP1" t="e">
        <f>AND(等级属性!E8,"AAAAAG1nvd8=")</f>
        <v>#VALUE!</v>
      </c>
      <c r="HQ1" t="e">
        <f>AND(等级属性!F8,"AAAAAG1nveA=")</f>
        <v>#VALUE!</v>
      </c>
      <c r="HR1" t="e">
        <f>AND(等级属性!G8,"AAAAAG1nveE=")</f>
        <v>#VALUE!</v>
      </c>
      <c r="HS1" t="e">
        <f>AND(等级属性!H8,"AAAAAG1nveI=")</f>
        <v>#VALUE!</v>
      </c>
      <c r="HT1" t="e">
        <f>AND(等级属性!I8,"AAAAAG1nveM=")</f>
        <v>#VALUE!</v>
      </c>
      <c r="HU1" t="e">
        <f>AND(等级属性!J8,"AAAAAG1nveQ=")</f>
        <v>#VALUE!</v>
      </c>
      <c r="HV1" t="e">
        <f>AND(等级属性!K8,"AAAAAG1nveU=")</f>
        <v>#VALUE!</v>
      </c>
      <c r="HW1" t="e">
        <f>AND(等级属性!L8,"AAAAAG1nveY=")</f>
        <v>#VALUE!</v>
      </c>
      <c r="HX1" t="e">
        <f>AND(等级属性!M8,"AAAAAG1nvec=")</f>
        <v>#VALUE!</v>
      </c>
      <c r="HY1" t="e">
        <f>AND(等级属性!N8,"AAAAAG1nveg=")</f>
        <v>#VALUE!</v>
      </c>
      <c r="HZ1" t="e">
        <f>AND(等级属性!O8,"AAAAAG1nvek=")</f>
        <v>#VALUE!</v>
      </c>
      <c r="IA1" t="e">
        <f>AND(等级属性!P8,"AAAAAG1nveo=")</f>
        <v>#VALUE!</v>
      </c>
      <c r="IB1" t="e">
        <f>AND(等级属性!Q8,"AAAAAG1nves=")</f>
        <v>#VALUE!</v>
      </c>
      <c r="IC1" t="e">
        <f>AND(等级属性!R8,"AAAAAG1nvew=")</f>
        <v>#VALUE!</v>
      </c>
      <c r="ID1" t="e">
        <f>AND(等级属性!S8,"AAAAAG1nve0=")</f>
        <v>#VALUE!</v>
      </c>
      <c r="IE1">
        <f>IF(等级属性!9:9,"AAAAAG1nve4=",0)</f>
        <v>0</v>
      </c>
      <c r="IF1" t="e">
        <f>AND(等级属性!A9,"AAAAAG1nve8=")</f>
        <v>#VALUE!</v>
      </c>
      <c r="IG1" t="e">
        <f>AND(等级属性!B9,"AAAAAG1nvfA=")</f>
        <v>#VALUE!</v>
      </c>
      <c r="IH1" t="e">
        <f>AND(等级属性!C9,"AAAAAG1nvfE=")</f>
        <v>#VALUE!</v>
      </c>
      <c r="II1" t="e">
        <f>AND(等级属性!D9,"AAAAAG1nvfI=")</f>
        <v>#VALUE!</v>
      </c>
      <c r="IJ1" t="e">
        <f>AND(等级属性!E9,"AAAAAG1nvfM=")</f>
        <v>#VALUE!</v>
      </c>
      <c r="IK1" t="e">
        <f>AND(等级属性!F9,"AAAAAG1nvfQ=")</f>
        <v>#VALUE!</v>
      </c>
      <c r="IL1" t="e">
        <f>AND(等级属性!G9,"AAAAAG1nvfU=")</f>
        <v>#VALUE!</v>
      </c>
      <c r="IM1" t="e">
        <f>AND(等级属性!H9,"AAAAAG1nvfY=")</f>
        <v>#VALUE!</v>
      </c>
      <c r="IN1" t="e">
        <f>AND(等级属性!I9,"AAAAAG1nvfc=")</f>
        <v>#VALUE!</v>
      </c>
      <c r="IO1" t="e">
        <f>AND(等级属性!J9,"AAAAAG1nvfg=")</f>
        <v>#VALUE!</v>
      </c>
      <c r="IP1" t="e">
        <f>AND(等级属性!K9,"AAAAAG1nvfk=")</f>
        <v>#VALUE!</v>
      </c>
      <c r="IQ1" t="e">
        <f>AND(等级属性!L9,"AAAAAG1nvfo=")</f>
        <v>#VALUE!</v>
      </c>
      <c r="IR1" t="e">
        <f>AND(等级属性!M9,"AAAAAG1nvfs=")</f>
        <v>#VALUE!</v>
      </c>
      <c r="IS1" t="e">
        <f>AND(等级属性!N9,"AAAAAG1nvfw=")</f>
        <v>#VALUE!</v>
      </c>
      <c r="IT1" t="e">
        <f>AND(等级属性!O9,"AAAAAG1nvf0=")</f>
        <v>#VALUE!</v>
      </c>
      <c r="IU1" t="e">
        <f>AND(等级属性!P9,"AAAAAG1nvf4=")</f>
        <v>#VALUE!</v>
      </c>
      <c r="IV1" t="e">
        <f>AND(等级属性!Q9,"AAAAAG1nvf8=")</f>
        <v>#VALUE!</v>
      </c>
    </row>
    <row r="2" spans="1:256">
      <c r="A2" t="e">
        <f>AND(等级属性!R9,"AAAAAH9ZfwA=")</f>
        <v>#VALUE!</v>
      </c>
      <c r="B2" t="e">
        <f>AND(等级属性!S9,"AAAAAH9ZfwE=")</f>
        <v>#VALUE!</v>
      </c>
      <c r="C2" t="str">
        <f>IF(等级属性!10:10,"AAAAAH9ZfwI=",0)</f>
        <v>AAAAAH9ZfwI=</v>
      </c>
      <c r="D2" t="e">
        <f>AND(等级属性!A10,"AAAAAH9ZfwM=")</f>
        <v>#VALUE!</v>
      </c>
      <c r="E2" t="e">
        <f>AND(等级属性!B10,"AAAAAH9ZfwQ=")</f>
        <v>#VALUE!</v>
      </c>
      <c r="F2" t="e">
        <f>AND(等级属性!C10,"AAAAAH9ZfwU=")</f>
        <v>#VALUE!</v>
      </c>
      <c r="G2" t="e">
        <f>AND(等级属性!D10,"AAAAAH9ZfwY=")</f>
        <v>#VALUE!</v>
      </c>
      <c r="H2" t="e">
        <f>AND(等级属性!E10,"AAAAAH9Zfwc=")</f>
        <v>#VALUE!</v>
      </c>
      <c r="I2" t="e">
        <f>AND(等级属性!F10,"AAAAAH9Zfwg=")</f>
        <v>#VALUE!</v>
      </c>
      <c r="J2" t="e">
        <f>AND(等级属性!G10,"AAAAAH9Zfwk=")</f>
        <v>#VALUE!</v>
      </c>
      <c r="K2" t="e">
        <f>AND(等级属性!H10,"AAAAAH9Zfwo=")</f>
        <v>#VALUE!</v>
      </c>
      <c r="L2" t="e">
        <f>AND(等级属性!I10,"AAAAAH9Zfws=")</f>
        <v>#VALUE!</v>
      </c>
      <c r="M2" t="e">
        <f>AND(等级属性!J10,"AAAAAH9Zfww=")</f>
        <v>#VALUE!</v>
      </c>
      <c r="N2" t="e">
        <f>AND(等级属性!K10,"AAAAAH9Zfw0=")</f>
        <v>#VALUE!</v>
      </c>
      <c r="O2" t="e">
        <f>AND(等级属性!L10,"AAAAAH9Zfw4=")</f>
        <v>#VALUE!</v>
      </c>
      <c r="P2" t="e">
        <f>AND(等级属性!M10,"AAAAAH9Zfw8=")</f>
        <v>#VALUE!</v>
      </c>
      <c r="Q2" t="e">
        <f>AND(等级属性!N10,"AAAAAH9ZfxA=")</f>
        <v>#VALUE!</v>
      </c>
      <c r="R2" t="e">
        <f>AND(等级属性!O10,"AAAAAH9ZfxE=")</f>
        <v>#VALUE!</v>
      </c>
      <c r="S2" t="e">
        <f>AND(等级属性!P10,"AAAAAH9ZfxI=")</f>
        <v>#VALUE!</v>
      </c>
      <c r="T2" t="e">
        <f>AND(等级属性!Q10,"AAAAAH9ZfxM=")</f>
        <v>#VALUE!</v>
      </c>
      <c r="U2" t="e">
        <f>AND(等级属性!R10,"AAAAAH9ZfxQ=")</f>
        <v>#VALUE!</v>
      </c>
      <c r="V2" t="e">
        <f>AND(等级属性!S10,"AAAAAH9ZfxU=")</f>
        <v>#VALUE!</v>
      </c>
      <c r="W2">
        <f>IF(等级属性!11:11,"AAAAAH9ZfxY=",0)</f>
        <v>0</v>
      </c>
      <c r="X2" t="e">
        <f>AND(等级属性!A11,"AAAAAH9Zfxc=")</f>
        <v>#VALUE!</v>
      </c>
      <c r="Y2" t="e">
        <f>AND(等级属性!B11,"AAAAAH9Zfxg=")</f>
        <v>#VALUE!</v>
      </c>
      <c r="Z2" t="e">
        <f>AND(等级属性!C11,"AAAAAH9Zfxk=")</f>
        <v>#VALUE!</v>
      </c>
      <c r="AA2" t="e">
        <f>AND(等级属性!D11,"AAAAAH9Zfxo=")</f>
        <v>#VALUE!</v>
      </c>
      <c r="AB2" t="e">
        <f>AND(等级属性!E11,"AAAAAH9Zfxs=")</f>
        <v>#VALUE!</v>
      </c>
      <c r="AC2" t="e">
        <f>AND(等级属性!F11,"AAAAAH9Zfxw=")</f>
        <v>#VALUE!</v>
      </c>
      <c r="AD2" t="e">
        <f>AND(等级属性!G11,"AAAAAH9Zfx0=")</f>
        <v>#VALUE!</v>
      </c>
      <c r="AE2" t="e">
        <f>AND(等级属性!H11,"AAAAAH9Zfx4=")</f>
        <v>#VALUE!</v>
      </c>
      <c r="AF2" t="e">
        <f>AND(等级属性!I11,"AAAAAH9Zfx8=")</f>
        <v>#VALUE!</v>
      </c>
      <c r="AG2" t="e">
        <f>AND(等级属性!J11,"AAAAAH9ZfyA=")</f>
        <v>#VALUE!</v>
      </c>
      <c r="AH2" t="e">
        <f>AND(等级属性!K11,"AAAAAH9ZfyE=")</f>
        <v>#VALUE!</v>
      </c>
      <c r="AI2" t="e">
        <f>AND(等级属性!L11,"AAAAAH9ZfyI=")</f>
        <v>#VALUE!</v>
      </c>
      <c r="AJ2" t="e">
        <f>AND(等级属性!M11,"AAAAAH9ZfyM=")</f>
        <v>#VALUE!</v>
      </c>
      <c r="AK2" t="e">
        <f>AND(等级属性!N11,"AAAAAH9ZfyQ=")</f>
        <v>#VALUE!</v>
      </c>
      <c r="AL2" t="e">
        <f>AND(等级属性!O11,"AAAAAH9ZfyU=")</f>
        <v>#VALUE!</v>
      </c>
      <c r="AM2" t="e">
        <f>AND(等级属性!P11,"AAAAAH9ZfyY=")</f>
        <v>#VALUE!</v>
      </c>
      <c r="AN2" t="e">
        <f>AND(等级属性!Q11,"AAAAAH9Zfyc=")</f>
        <v>#VALUE!</v>
      </c>
      <c r="AO2" t="e">
        <f>AND(等级属性!R11,"AAAAAH9Zfyg=")</f>
        <v>#VALUE!</v>
      </c>
      <c r="AP2" t="e">
        <f>AND(等级属性!S11,"AAAAAH9Zfyk=")</f>
        <v>#VALUE!</v>
      </c>
      <c r="AQ2">
        <f>IF(等级属性!12:12,"AAAAAH9Zfyo=",0)</f>
        <v>0</v>
      </c>
      <c r="AR2" t="e">
        <f>AND(等级属性!A12,"AAAAAH9Zfys=")</f>
        <v>#VALUE!</v>
      </c>
      <c r="AS2" t="e">
        <f>AND(等级属性!B12,"AAAAAH9Zfyw=")</f>
        <v>#VALUE!</v>
      </c>
      <c r="AT2" t="e">
        <f>AND(等级属性!C12,"AAAAAH9Zfy0=")</f>
        <v>#VALUE!</v>
      </c>
      <c r="AU2" t="e">
        <f>AND(等级属性!D12,"AAAAAH9Zfy4=")</f>
        <v>#VALUE!</v>
      </c>
      <c r="AV2" t="e">
        <f>AND(等级属性!E12,"AAAAAH9Zfy8=")</f>
        <v>#VALUE!</v>
      </c>
      <c r="AW2" t="e">
        <f>AND(等级属性!F12,"AAAAAH9ZfzA=")</f>
        <v>#VALUE!</v>
      </c>
      <c r="AX2" t="e">
        <f>AND(等级属性!G12,"AAAAAH9ZfzE=")</f>
        <v>#VALUE!</v>
      </c>
      <c r="AY2" t="e">
        <f>AND(等级属性!H12,"AAAAAH9ZfzI=")</f>
        <v>#VALUE!</v>
      </c>
      <c r="AZ2" t="e">
        <f>AND(等级属性!I12,"AAAAAH9ZfzM=")</f>
        <v>#VALUE!</v>
      </c>
      <c r="BA2" t="e">
        <f>AND(等级属性!J12,"AAAAAH9ZfzQ=")</f>
        <v>#VALUE!</v>
      </c>
      <c r="BB2" t="e">
        <f>AND(等级属性!K12,"AAAAAH9ZfzU=")</f>
        <v>#VALUE!</v>
      </c>
      <c r="BC2" t="e">
        <f>AND(等级属性!L12,"AAAAAH9ZfzY=")</f>
        <v>#VALUE!</v>
      </c>
      <c r="BD2" t="e">
        <f>AND(等级属性!M12,"AAAAAH9Zfzc=")</f>
        <v>#VALUE!</v>
      </c>
      <c r="BE2" t="e">
        <f>AND(等级属性!N12,"AAAAAH9Zfzg=")</f>
        <v>#VALUE!</v>
      </c>
      <c r="BF2" t="e">
        <f>AND(等级属性!O12,"AAAAAH9Zfzk=")</f>
        <v>#VALUE!</v>
      </c>
      <c r="BG2" t="e">
        <f>AND(等级属性!P12,"AAAAAH9Zfzo=")</f>
        <v>#VALUE!</v>
      </c>
      <c r="BH2" t="e">
        <f>AND(等级属性!Q12,"AAAAAH9Zfzs=")</f>
        <v>#VALUE!</v>
      </c>
      <c r="BI2" t="e">
        <f>AND(等级属性!R12,"AAAAAH9Zfzw=")</f>
        <v>#VALUE!</v>
      </c>
      <c r="BJ2" t="e">
        <f>AND(等级属性!S12,"AAAAAH9Zfz0=")</f>
        <v>#VALUE!</v>
      </c>
      <c r="BK2">
        <f>IF(等级属性!13:13,"AAAAAH9Zfz4=",0)</f>
        <v>0</v>
      </c>
      <c r="BL2" t="e">
        <f>AND(等级属性!A13,"AAAAAH9Zfz8=")</f>
        <v>#VALUE!</v>
      </c>
      <c r="BM2" t="e">
        <f>AND(等级属性!B13,"AAAAAH9Zf0A=")</f>
        <v>#VALUE!</v>
      </c>
      <c r="BN2" t="e">
        <f>AND(等级属性!C13,"AAAAAH9Zf0E=")</f>
        <v>#VALUE!</v>
      </c>
      <c r="BO2" t="e">
        <f>AND(等级属性!D13,"AAAAAH9Zf0I=")</f>
        <v>#VALUE!</v>
      </c>
      <c r="BP2" t="e">
        <f>AND(等级属性!E13,"AAAAAH9Zf0M=")</f>
        <v>#VALUE!</v>
      </c>
      <c r="BQ2" t="e">
        <f>AND(等级属性!F13,"AAAAAH9Zf0Q=")</f>
        <v>#VALUE!</v>
      </c>
      <c r="BR2" t="e">
        <f>AND(等级属性!G13,"AAAAAH9Zf0U=")</f>
        <v>#VALUE!</v>
      </c>
      <c r="BS2" t="e">
        <f>AND(等级属性!H13,"AAAAAH9Zf0Y=")</f>
        <v>#VALUE!</v>
      </c>
      <c r="BT2" t="e">
        <f>AND(等级属性!I13,"AAAAAH9Zf0c=")</f>
        <v>#VALUE!</v>
      </c>
      <c r="BU2" t="e">
        <f>AND(等级属性!J13,"AAAAAH9Zf0g=")</f>
        <v>#VALUE!</v>
      </c>
      <c r="BV2" t="e">
        <f>AND(等级属性!K13,"AAAAAH9Zf0k=")</f>
        <v>#VALUE!</v>
      </c>
      <c r="BW2" t="e">
        <f>AND(等级属性!L13,"AAAAAH9Zf0o=")</f>
        <v>#VALUE!</v>
      </c>
      <c r="BX2" t="e">
        <f>AND(等级属性!M13,"AAAAAH9Zf0s=")</f>
        <v>#VALUE!</v>
      </c>
      <c r="BY2" t="e">
        <f>AND(等级属性!N13,"AAAAAH9Zf0w=")</f>
        <v>#VALUE!</v>
      </c>
      <c r="BZ2" t="e">
        <f>AND(等级属性!O13,"AAAAAH9Zf00=")</f>
        <v>#VALUE!</v>
      </c>
      <c r="CA2" t="e">
        <f>AND(等级属性!P13,"AAAAAH9Zf04=")</f>
        <v>#VALUE!</v>
      </c>
      <c r="CB2" t="e">
        <f>AND(等级属性!Q13,"AAAAAH9Zf08=")</f>
        <v>#VALUE!</v>
      </c>
      <c r="CC2" t="e">
        <f>AND(等级属性!R13,"AAAAAH9Zf1A=")</f>
        <v>#VALUE!</v>
      </c>
      <c r="CD2" t="e">
        <f>AND(等级属性!S13,"AAAAAH9Zf1E=")</f>
        <v>#VALUE!</v>
      </c>
      <c r="CE2">
        <f>IF(等级属性!14:14,"AAAAAH9Zf1I=",0)</f>
        <v>0</v>
      </c>
      <c r="CF2" t="e">
        <f>AND(等级属性!A14,"AAAAAH9Zf1M=")</f>
        <v>#VALUE!</v>
      </c>
      <c r="CG2" t="e">
        <f>AND(等级属性!B14,"AAAAAH9Zf1Q=")</f>
        <v>#VALUE!</v>
      </c>
      <c r="CH2" t="e">
        <f>AND(等级属性!C14,"AAAAAH9Zf1U=")</f>
        <v>#VALUE!</v>
      </c>
      <c r="CI2" t="e">
        <f>AND(等级属性!D14,"AAAAAH9Zf1Y=")</f>
        <v>#VALUE!</v>
      </c>
      <c r="CJ2" t="e">
        <f>AND(等级属性!E14,"AAAAAH9Zf1c=")</f>
        <v>#VALUE!</v>
      </c>
      <c r="CK2" t="e">
        <f>AND(等级属性!F14,"AAAAAH9Zf1g=")</f>
        <v>#VALUE!</v>
      </c>
      <c r="CL2" t="e">
        <f>AND(等级属性!G14,"AAAAAH9Zf1k=")</f>
        <v>#VALUE!</v>
      </c>
      <c r="CM2" t="e">
        <f>AND(等级属性!H14,"AAAAAH9Zf1o=")</f>
        <v>#VALUE!</v>
      </c>
      <c r="CN2" t="e">
        <f>AND(等级属性!I14,"AAAAAH9Zf1s=")</f>
        <v>#VALUE!</v>
      </c>
      <c r="CO2" t="e">
        <f>AND(等级属性!J14,"AAAAAH9Zf1w=")</f>
        <v>#VALUE!</v>
      </c>
      <c r="CP2" t="e">
        <f>AND(等级属性!K14,"AAAAAH9Zf10=")</f>
        <v>#VALUE!</v>
      </c>
      <c r="CQ2" t="e">
        <f>AND(等级属性!L14,"AAAAAH9Zf14=")</f>
        <v>#VALUE!</v>
      </c>
      <c r="CR2" t="e">
        <f>AND(等级属性!M14,"AAAAAH9Zf18=")</f>
        <v>#VALUE!</v>
      </c>
      <c r="CS2" t="e">
        <f>AND(等级属性!N14,"AAAAAH9Zf2A=")</f>
        <v>#VALUE!</v>
      </c>
      <c r="CT2" t="e">
        <f>AND(等级属性!O14,"AAAAAH9Zf2E=")</f>
        <v>#VALUE!</v>
      </c>
      <c r="CU2" t="e">
        <f>AND(等级属性!P14,"AAAAAH9Zf2I=")</f>
        <v>#VALUE!</v>
      </c>
      <c r="CV2" t="e">
        <f>AND(等级属性!Q14,"AAAAAH9Zf2M=")</f>
        <v>#VALUE!</v>
      </c>
      <c r="CW2" t="e">
        <f>AND(等级属性!R14,"AAAAAH9Zf2Q=")</f>
        <v>#VALUE!</v>
      </c>
      <c r="CX2" t="e">
        <f>AND(等级属性!S14,"AAAAAH9Zf2U=")</f>
        <v>#VALUE!</v>
      </c>
      <c r="CY2">
        <f>IF(等级属性!15:15,"AAAAAH9Zf2Y=",0)</f>
        <v>0</v>
      </c>
      <c r="CZ2" t="e">
        <f>AND(等级属性!A15,"AAAAAH9Zf2c=")</f>
        <v>#VALUE!</v>
      </c>
      <c r="DA2" t="e">
        <f>AND(等级属性!B15,"AAAAAH9Zf2g=")</f>
        <v>#VALUE!</v>
      </c>
      <c r="DB2" t="e">
        <f>AND(等级属性!C15,"AAAAAH9Zf2k=")</f>
        <v>#VALUE!</v>
      </c>
      <c r="DC2" t="e">
        <f>AND(等级属性!D15,"AAAAAH9Zf2o=")</f>
        <v>#VALUE!</v>
      </c>
      <c r="DD2" t="e">
        <f>AND(等级属性!E15,"AAAAAH9Zf2s=")</f>
        <v>#VALUE!</v>
      </c>
      <c r="DE2" t="e">
        <f>AND(等级属性!F15,"AAAAAH9Zf2w=")</f>
        <v>#VALUE!</v>
      </c>
      <c r="DF2" t="e">
        <f>AND(等级属性!G15,"AAAAAH9Zf20=")</f>
        <v>#VALUE!</v>
      </c>
      <c r="DG2" t="e">
        <f>AND(等级属性!H15,"AAAAAH9Zf24=")</f>
        <v>#VALUE!</v>
      </c>
      <c r="DH2" t="e">
        <f>AND(等级属性!I15,"AAAAAH9Zf28=")</f>
        <v>#VALUE!</v>
      </c>
      <c r="DI2" t="e">
        <f>AND(等级属性!J15,"AAAAAH9Zf3A=")</f>
        <v>#VALUE!</v>
      </c>
      <c r="DJ2" t="e">
        <f>AND(等级属性!K15,"AAAAAH9Zf3E=")</f>
        <v>#VALUE!</v>
      </c>
      <c r="DK2" t="e">
        <f>AND(等级属性!L15,"AAAAAH9Zf3I=")</f>
        <v>#VALUE!</v>
      </c>
      <c r="DL2" t="e">
        <f>AND(等级属性!M15,"AAAAAH9Zf3M=")</f>
        <v>#VALUE!</v>
      </c>
      <c r="DM2" t="e">
        <f>AND(等级属性!N15,"AAAAAH9Zf3Q=")</f>
        <v>#VALUE!</v>
      </c>
      <c r="DN2" t="e">
        <f>AND(等级属性!O15,"AAAAAH9Zf3U=")</f>
        <v>#VALUE!</v>
      </c>
      <c r="DO2" t="e">
        <f>AND(等级属性!P15,"AAAAAH9Zf3Y=")</f>
        <v>#VALUE!</v>
      </c>
      <c r="DP2" t="e">
        <f>AND(等级属性!Q15,"AAAAAH9Zf3c=")</f>
        <v>#VALUE!</v>
      </c>
      <c r="DQ2" t="e">
        <f>AND(等级属性!R15,"AAAAAH9Zf3g=")</f>
        <v>#VALUE!</v>
      </c>
      <c r="DR2" t="e">
        <f>AND(等级属性!S15,"AAAAAH9Zf3k=")</f>
        <v>#VALUE!</v>
      </c>
      <c r="DS2">
        <f>IF(等级属性!16:16,"AAAAAH9Zf3o=",0)</f>
        <v>0</v>
      </c>
      <c r="DT2" t="e">
        <f>AND(等级属性!A16,"AAAAAH9Zf3s=")</f>
        <v>#VALUE!</v>
      </c>
      <c r="DU2" t="e">
        <f>AND(等级属性!B16,"AAAAAH9Zf3w=")</f>
        <v>#VALUE!</v>
      </c>
      <c r="DV2" t="e">
        <f>AND(等级属性!C16,"AAAAAH9Zf30=")</f>
        <v>#VALUE!</v>
      </c>
      <c r="DW2" t="e">
        <f>AND(等级属性!D16,"AAAAAH9Zf34=")</f>
        <v>#VALUE!</v>
      </c>
      <c r="DX2" t="e">
        <f>AND(等级属性!E16,"AAAAAH9Zf38=")</f>
        <v>#VALUE!</v>
      </c>
      <c r="DY2" t="e">
        <f>AND(等级属性!F16,"AAAAAH9Zf4A=")</f>
        <v>#VALUE!</v>
      </c>
      <c r="DZ2" t="e">
        <f>AND(等级属性!G16,"AAAAAH9Zf4E=")</f>
        <v>#VALUE!</v>
      </c>
      <c r="EA2" t="e">
        <f>AND(等级属性!H16,"AAAAAH9Zf4I=")</f>
        <v>#VALUE!</v>
      </c>
      <c r="EB2" t="e">
        <f>AND(等级属性!I16,"AAAAAH9Zf4M=")</f>
        <v>#VALUE!</v>
      </c>
      <c r="EC2" t="e">
        <f>AND(等级属性!J16,"AAAAAH9Zf4Q=")</f>
        <v>#VALUE!</v>
      </c>
      <c r="ED2" t="e">
        <f>AND(等级属性!K16,"AAAAAH9Zf4U=")</f>
        <v>#VALUE!</v>
      </c>
      <c r="EE2" t="e">
        <f>AND(等级属性!L16,"AAAAAH9Zf4Y=")</f>
        <v>#VALUE!</v>
      </c>
      <c r="EF2" t="e">
        <f>AND(等级属性!M16,"AAAAAH9Zf4c=")</f>
        <v>#VALUE!</v>
      </c>
      <c r="EG2" t="e">
        <f>AND(等级属性!N16,"AAAAAH9Zf4g=")</f>
        <v>#VALUE!</v>
      </c>
      <c r="EH2" t="e">
        <f>AND(等级属性!O16,"AAAAAH9Zf4k=")</f>
        <v>#VALUE!</v>
      </c>
      <c r="EI2" t="e">
        <f>AND(等级属性!P16,"AAAAAH9Zf4o=")</f>
        <v>#VALUE!</v>
      </c>
      <c r="EJ2" t="e">
        <f>AND(等级属性!Q16,"AAAAAH9Zf4s=")</f>
        <v>#VALUE!</v>
      </c>
      <c r="EK2" t="e">
        <f>AND(等级属性!R16,"AAAAAH9Zf4w=")</f>
        <v>#VALUE!</v>
      </c>
      <c r="EL2" t="e">
        <f>AND(等级属性!S16,"AAAAAH9Zf40=")</f>
        <v>#VALUE!</v>
      </c>
      <c r="EM2">
        <f>IF(等级属性!17:17,"AAAAAH9Zf44=",0)</f>
        <v>0</v>
      </c>
      <c r="EN2" t="e">
        <f>AND(等级属性!A17,"AAAAAH9Zf48=")</f>
        <v>#VALUE!</v>
      </c>
      <c r="EO2" t="e">
        <f>AND(等级属性!B17,"AAAAAH9Zf5A=")</f>
        <v>#VALUE!</v>
      </c>
      <c r="EP2" t="e">
        <f>AND(等级属性!C17,"AAAAAH9Zf5E=")</f>
        <v>#VALUE!</v>
      </c>
      <c r="EQ2" t="e">
        <f>AND(等级属性!D17,"AAAAAH9Zf5I=")</f>
        <v>#VALUE!</v>
      </c>
      <c r="ER2" t="e">
        <f>AND(等级属性!E17,"AAAAAH9Zf5M=")</f>
        <v>#VALUE!</v>
      </c>
      <c r="ES2" t="e">
        <f>AND(等级属性!F17,"AAAAAH9Zf5Q=")</f>
        <v>#VALUE!</v>
      </c>
      <c r="ET2" t="e">
        <f>AND(等级属性!G17,"AAAAAH9Zf5U=")</f>
        <v>#VALUE!</v>
      </c>
      <c r="EU2" t="e">
        <f>AND(等级属性!H17,"AAAAAH9Zf5Y=")</f>
        <v>#VALUE!</v>
      </c>
      <c r="EV2" t="e">
        <f>AND(等级属性!I17,"AAAAAH9Zf5c=")</f>
        <v>#VALUE!</v>
      </c>
      <c r="EW2" t="e">
        <f>AND(等级属性!J17,"AAAAAH9Zf5g=")</f>
        <v>#VALUE!</v>
      </c>
      <c r="EX2" t="e">
        <f>AND(等级属性!K17,"AAAAAH9Zf5k=")</f>
        <v>#VALUE!</v>
      </c>
      <c r="EY2" t="e">
        <f>AND(等级属性!L17,"AAAAAH9Zf5o=")</f>
        <v>#VALUE!</v>
      </c>
      <c r="EZ2" t="e">
        <f>AND(等级属性!M17,"AAAAAH9Zf5s=")</f>
        <v>#VALUE!</v>
      </c>
      <c r="FA2" t="e">
        <f>AND(等级属性!N17,"AAAAAH9Zf5w=")</f>
        <v>#VALUE!</v>
      </c>
      <c r="FB2" t="e">
        <f>AND(等级属性!O17,"AAAAAH9Zf50=")</f>
        <v>#VALUE!</v>
      </c>
      <c r="FC2" t="e">
        <f>AND(等级属性!P17,"AAAAAH9Zf54=")</f>
        <v>#VALUE!</v>
      </c>
      <c r="FD2" t="e">
        <f>AND(等级属性!Q17,"AAAAAH9Zf58=")</f>
        <v>#VALUE!</v>
      </c>
      <c r="FE2" t="e">
        <f>AND(等级属性!R17,"AAAAAH9Zf6A=")</f>
        <v>#VALUE!</v>
      </c>
      <c r="FF2" t="e">
        <f>AND(等级属性!S17,"AAAAAH9Zf6E=")</f>
        <v>#VALUE!</v>
      </c>
      <c r="FG2">
        <f>IF(等级属性!18:18,"AAAAAH9Zf6I=",0)</f>
        <v>0</v>
      </c>
      <c r="FH2" t="e">
        <f>AND(等级属性!A18,"AAAAAH9Zf6M=")</f>
        <v>#VALUE!</v>
      </c>
      <c r="FI2" t="e">
        <f>AND(等级属性!B18,"AAAAAH9Zf6Q=")</f>
        <v>#VALUE!</v>
      </c>
      <c r="FJ2" t="e">
        <f>AND(等级属性!C18,"AAAAAH9Zf6U=")</f>
        <v>#VALUE!</v>
      </c>
      <c r="FK2" t="e">
        <f>AND(等级属性!D18,"AAAAAH9Zf6Y=")</f>
        <v>#VALUE!</v>
      </c>
      <c r="FL2" t="e">
        <f>AND(等级属性!E18,"AAAAAH9Zf6c=")</f>
        <v>#VALUE!</v>
      </c>
      <c r="FM2" t="e">
        <f>AND(等级属性!F18,"AAAAAH9Zf6g=")</f>
        <v>#VALUE!</v>
      </c>
      <c r="FN2" t="e">
        <f>AND(等级属性!G18,"AAAAAH9Zf6k=")</f>
        <v>#VALUE!</v>
      </c>
      <c r="FO2" t="e">
        <f>AND(等级属性!H18,"AAAAAH9Zf6o=")</f>
        <v>#VALUE!</v>
      </c>
      <c r="FP2" t="e">
        <f>AND(等级属性!I18,"AAAAAH9Zf6s=")</f>
        <v>#VALUE!</v>
      </c>
      <c r="FQ2" t="e">
        <f>AND(等级属性!J18,"AAAAAH9Zf6w=")</f>
        <v>#VALUE!</v>
      </c>
      <c r="FR2" t="e">
        <f>AND(等级属性!K18,"AAAAAH9Zf60=")</f>
        <v>#VALUE!</v>
      </c>
      <c r="FS2" t="e">
        <f>AND(等级属性!L18,"AAAAAH9Zf64=")</f>
        <v>#VALUE!</v>
      </c>
      <c r="FT2" t="e">
        <f>AND(等级属性!M18,"AAAAAH9Zf68=")</f>
        <v>#VALUE!</v>
      </c>
      <c r="FU2" t="e">
        <f>AND(等级属性!N18,"AAAAAH9Zf7A=")</f>
        <v>#VALUE!</v>
      </c>
      <c r="FV2" t="e">
        <f>AND(等级属性!O18,"AAAAAH9Zf7E=")</f>
        <v>#VALUE!</v>
      </c>
      <c r="FW2" t="e">
        <f>AND(等级属性!P18,"AAAAAH9Zf7I=")</f>
        <v>#VALUE!</v>
      </c>
      <c r="FX2" t="e">
        <f>AND(等级属性!Q18,"AAAAAH9Zf7M=")</f>
        <v>#VALUE!</v>
      </c>
      <c r="FY2" t="e">
        <f>AND(等级属性!R18,"AAAAAH9Zf7Q=")</f>
        <v>#VALUE!</v>
      </c>
      <c r="FZ2" t="e">
        <f>AND(等级属性!S18,"AAAAAH9Zf7U=")</f>
        <v>#VALUE!</v>
      </c>
      <c r="GA2">
        <f>IF(等级属性!19:19,"AAAAAH9Zf7Y=",0)</f>
        <v>0</v>
      </c>
      <c r="GB2" t="e">
        <f>AND(等级属性!A19,"AAAAAH9Zf7c=")</f>
        <v>#VALUE!</v>
      </c>
      <c r="GC2" t="e">
        <f>AND(等级属性!B19,"AAAAAH9Zf7g=")</f>
        <v>#VALUE!</v>
      </c>
      <c r="GD2" t="e">
        <f>AND(等级属性!C19,"AAAAAH9Zf7k=")</f>
        <v>#VALUE!</v>
      </c>
      <c r="GE2" t="e">
        <f>AND(等级属性!D19,"AAAAAH9Zf7o=")</f>
        <v>#VALUE!</v>
      </c>
      <c r="GF2" t="e">
        <f>AND(等级属性!E19,"AAAAAH9Zf7s=")</f>
        <v>#VALUE!</v>
      </c>
      <c r="GG2" t="e">
        <f>AND(等级属性!F19,"AAAAAH9Zf7w=")</f>
        <v>#VALUE!</v>
      </c>
      <c r="GH2" t="e">
        <f>AND(等级属性!G19,"AAAAAH9Zf70=")</f>
        <v>#VALUE!</v>
      </c>
      <c r="GI2" t="e">
        <f>AND(等级属性!H19,"AAAAAH9Zf74=")</f>
        <v>#VALUE!</v>
      </c>
      <c r="GJ2" t="e">
        <f>AND(等级属性!I19,"AAAAAH9Zf78=")</f>
        <v>#VALUE!</v>
      </c>
      <c r="GK2" t="e">
        <f>AND(等级属性!J19,"AAAAAH9Zf8A=")</f>
        <v>#VALUE!</v>
      </c>
      <c r="GL2" t="e">
        <f>AND(等级属性!K19,"AAAAAH9Zf8E=")</f>
        <v>#VALUE!</v>
      </c>
      <c r="GM2" t="e">
        <f>AND(等级属性!L19,"AAAAAH9Zf8I=")</f>
        <v>#VALUE!</v>
      </c>
      <c r="GN2" t="e">
        <f>AND(等级属性!M19,"AAAAAH9Zf8M=")</f>
        <v>#VALUE!</v>
      </c>
      <c r="GO2" t="e">
        <f>AND(等级属性!N19,"AAAAAH9Zf8Q=")</f>
        <v>#VALUE!</v>
      </c>
      <c r="GP2" t="e">
        <f>AND(等级属性!O19,"AAAAAH9Zf8U=")</f>
        <v>#VALUE!</v>
      </c>
      <c r="GQ2" t="e">
        <f>AND(等级属性!P19,"AAAAAH9Zf8Y=")</f>
        <v>#VALUE!</v>
      </c>
      <c r="GR2" t="e">
        <f>AND(等级属性!Q19,"AAAAAH9Zf8c=")</f>
        <v>#VALUE!</v>
      </c>
      <c r="GS2" t="e">
        <f>AND(等级属性!R19,"AAAAAH9Zf8g=")</f>
        <v>#VALUE!</v>
      </c>
      <c r="GT2" t="e">
        <f>AND(等级属性!S19,"AAAAAH9Zf8k=")</f>
        <v>#VALUE!</v>
      </c>
      <c r="GU2">
        <f>IF(等级属性!20:20,"AAAAAH9Zf8o=",0)</f>
        <v>0</v>
      </c>
      <c r="GV2" t="e">
        <f>AND(等级属性!A20,"AAAAAH9Zf8s=")</f>
        <v>#VALUE!</v>
      </c>
      <c r="GW2" t="e">
        <f>AND(等级属性!B20,"AAAAAH9Zf8w=")</f>
        <v>#VALUE!</v>
      </c>
      <c r="GX2" t="e">
        <f>AND(等级属性!C20,"AAAAAH9Zf80=")</f>
        <v>#VALUE!</v>
      </c>
      <c r="GY2" t="e">
        <f>AND(等级属性!D20,"AAAAAH9Zf84=")</f>
        <v>#VALUE!</v>
      </c>
      <c r="GZ2" t="e">
        <f>AND(等级属性!E20,"AAAAAH9Zf88=")</f>
        <v>#VALUE!</v>
      </c>
      <c r="HA2" t="e">
        <f>AND(等级属性!F20,"AAAAAH9Zf9A=")</f>
        <v>#VALUE!</v>
      </c>
      <c r="HB2" t="e">
        <f>AND(等级属性!G20,"AAAAAH9Zf9E=")</f>
        <v>#VALUE!</v>
      </c>
      <c r="HC2" t="e">
        <f>AND(等级属性!H20,"AAAAAH9Zf9I=")</f>
        <v>#VALUE!</v>
      </c>
      <c r="HD2" t="e">
        <f>AND(等级属性!I20,"AAAAAH9Zf9M=")</f>
        <v>#VALUE!</v>
      </c>
      <c r="HE2" t="e">
        <f>AND(等级属性!J20,"AAAAAH9Zf9Q=")</f>
        <v>#VALUE!</v>
      </c>
      <c r="HF2" t="e">
        <f>AND(等级属性!K20,"AAAAAH9Zf9U=")</f>
        <v>#VALUE!</v>
      </c>
      <c r="HG2" t="e">
        <f>AND(等级属性!L20,"AAAAAH9Zf9Y=")</f>
        <v>#VALUE!</v>
      </c>
      <c r="HH2" t="e">
        <f>AND(等级属性!M20,"AAAAAH9Zf9c=")</f>
        <v>#VALUE!</v>
      </c>
      <c r="HI2" t="e">
        <f>AND(等级属性!N20,"AAAAAH9Zf9g=")</f>
        <v>#VALUE!</v>
      </c>
      <c r="HJ2" t="e">
        <f>AND(等级属性!O20,"AAAAAH9Zf9k=")</f>
        <v>#VALUE!</v>
      </c>
      <c r="HK2" t="e">
        <f>AND(等级属性!P20,"AAAAAH9Zf9o=")</f>
        <v>#VALUE!</v>
      </c>
      <c r="HL2" t="e">
        <f>AND(等级属性!Q20,"AAAAAH9Zf9s=")</f>
        <v>#VALUE!</v>
      </c>
      <c r="HM2" t="e">
        <f>AND(等级属性!R20,"AAAAAH9Zf9w=")</f>
        <v>#VALUE!</v>
      </c>
      <c r="HN2" t="e">
        <f>AND(等级属性!S20,"AAAAAH9Zf90=")</f>
        <v>#VALUE!</v>
      </c>
      <c r="HO2">
        <f>IF(等级属性!21:21,"AAAAAH9Zf94=",0)</f>
        <v>0</v>
      </c>
      <c r="HP2" t="e">
        <f>AND(等级属性!A21,"AAAAAH9Zf98=")</f>
        <v>#VALUE!</v>
      </c>
      <c r="HQ2" t="e">
        <f>AND(等级属性!B21,"AAAAAH9Zf+A=")</f>
        <v>#VALUE!</v>
      </c>
      <c r="HR2" t="e">
        <f>AND(等级属性!C21,"AAAAAH9Zf+E=")</f>
        <v>#VALUE!</v>
      </c>
      <c r="HS2" t="e">
        <f>AND(等级属性!D21,"AAAAAH9Zf+I=")</f>
        <v>#VALUE!</v>
      </c>
      <c r="HT2" t="e">
        <f>AND(等级属性!E21,"AAAAAH9Zf+M=")</f>
        <v>#VALUE!</v>
      </c>
      <c r="HU2" t="e">
        <f>AND(等级属性!F21,"AAAAAH9Zf+Q=")</f>
        <v>#VALUE!</v>
      </c>
      <c r="HV2" t="e">
        <f>AND(等级属性!G21,"AAAAAH9Zf+U=")</f>
        <v>#VALUE!</v>
      </c>
      <c r="HW2" t="e">
        <f>AND(等级属性!H21,"AAAAAH9Zf+Y=")</f>
        <v>#VALUE!</v>
      </c>
      <c r="HX2" t="e">
        <f>AND(等级属性!I21,"AAAAAH9Zf+c=")</f>
        <v>#VALUE!</v>
      </c>
      <c r="HY2" t="e">
        <f>AND(等级属性!J21,"AAAAAH9Zf+g=")</f>
        <v>#VALUE!</v>
      </c>
      <c r="HZ2" t="e">
        <f>AND(等级属性!K21,"AAAAAH9Zf+k=")</f>
        <v>#VALUE!</v>
      </c>
      <c r="IA2" t="e">
        <f>AND(等级属性!L21,"AAAAAH9Zf+o=")</f>
        <v>#VALUE!</v>
      </c>
      <c r="IB2" t="e">
        <f>AND(等级属性!M21,"AAAAAH9Zf+s=")</f>
        <v>#VALUE!</v>
      </c>
      <c r="IC2" t="e">
        <f>AND(等级属性!N21,"AAAAAH9Zf+w=")</f>
        <v>#VALUE!</v>
      </c>
      <c r="ID2" t="e">
        <f>AND(等级属性!O21,"AAAAAH9Zf+0=")</f>
        <v>#VALUE!</v>
      </c>
      <c r="IE2" t="e">
        <f>AND(等级属性!P21,"AAAAAH9Zf+4=")</f>
        <v>#VALUE!</v>
      </c>
      <c r="IF2" t="e">
        <f>AND(等级属性!Q21,"AAAAAH9Zf+8=")</f>
        <v>#VALUE!</v>
      </c>
      <c r="IG2" t="e">
        <f>AND(等级属性!R21,"AAAAAH9Zf/A=")</f>
        <v>#VALUE!</v>
      </c>
      <c r="IH2" t="e">
        <f>AND(等级属性!S21,"AAAAAH9Zf/E=")</f>
        <v>#VALUE!</v>
      </c>
      <c r="II2">
        <f>IF(等级属性!22:22,"AAAAAH9Zf/I=",0)</f>
        <v>0</v>
      </c>
      <c r="IJ2" t="e">
        <f>AND(等级属性!A22,"AAAAAH9Zf/M=")</f>
        <v>#VALUE!</v>
      </c>
      <c r="IK2" t="e">
        <f>AND(等级属性!B22,"AAAAAH9Zf/Q=")</f>
        <v>#VALUE!</v>
      </c>
      <c r="IL2" t="e">
        <f>AND(等级属性!C22,"AAAAAH9Zf/U=")</f>
        <v>#VALUE!</v>
      </c>
      <c r="IM2" t="e">
        <f>AND(等级属性!D22,"AAAAAH9Zf/Y=")</f>
        <v>#VALUE!</v>
      </c>
      <c r="IN2" t="e">
        <f>AND(等级属性!E22,"AAAAAH9Zf/c=")</f>
        <v>#VALUE!</v>
      </c>
      <c r="IO2" t="e">
        <f>AND(等级属性!F22,"AAAAAH9Zf/g=")</f>
        <v>#VALUE!</v>
      </c>
      <c r="IP2" t="e">
        <f>AND(等级属性!G22,"AAAAAH9Zf/k=")</f>
        <v>#VALUE!</v>
      </c>
      <c r="IQ2" t="e">
        <f>AND(等级属性!H22,"AAAAAH9Zf/o=")</f>
        <v>#VALUE!</v>
      </c>
      <c r="IR2" t="e">
        <f>AND(等级属性!I22,"AAAAAH9Zf/s=")</f>
        <v>#VALUE!</v>
      </c>
      <c r="IS2" t="e">
        <f>AND(等级属性!J22,"AAAAAH9Zf/w=")</f>
        <v>#VALUE!</v>
      </c>
      <c r="IT2" t="e">
        <f>AND(等级属性!K22,"AAAAAH9Zf/0=")</f>
        <v>#VALUE!</v>
      </c>
      <c r="IU2" t="e">
        <f>AND(等级属性!L22,"AAAAAH9Zf/4=")</f>
        <v>#VALUE!</v>
      </c>
      <c r="IV2" t="e">
        <f>AND(等级属性!M22,"AAAAAH9Zf/8=")</f>
        <v>#VALUE!</v>
      </c>
    </row>
    <row r="3" spans="1:256">
      <c r="A3" t="e">
        <f>AND(等级属性!N22,"AAAAAH9T4QA=")</f>
        <v>#VALUE!</v>
      </c>
      <c r="B3" t="e">
        <f>AND(等级属性!O22,"AAAAAH9T4QE=")</f>
        <v>#VALUE!</v>
      </c>
      <c r="C3" t="e">
        <f>AND(等级属性!P22,"AAAAAH9T4QI=")</f>
        <v>#VALUE!</v>
      </c>
      <c r="D3" t="e">
        <f>AND(等级属性!Q22,"AAAAAH9T4QM=")</f>
        <v>#VALUE!</v>
      </c>
      <c r="E3" t="e">
        <f>AND(等级属性!R22,"AAAAAH9T4QQ=")</f>
        <v>#VALUE!</v>
      </c>
      <c r="F3" t="e">
        <f>AND(等级属性!S22,"AAAAAH9T4QU=")</f>
        <v>#VALUE!</v>
      </c>
      <c r="G3" t="str">
        <f>IF(等级属性!23:23,"AAAAAH9T4QY=",0)</f>
        <v>AAAAAH9T4QY=</v>
      </c>
      <c r="H3" t="e">
        <f>AND(等级属性!A23,"AAAAAH9T4Qc=")</f>
        <v>#VALUE!</v>
      </c>
      <c r="I3" t="e">
        <f>AND(等级属性!B23,"AAAAAH9T4Qg=")</f>
        <v>#VALUE!</v>
      </c>
      <c r="J3" t="e">
        <f>AND(等级属性!C23,"AAAAAH9T4Qk=")</f>
        <v>#VALUE!</v>
      </c>
      <c r="K3" t="e">
        <f>AND(等级属性!D23,"AAAAAH9T4Qo=")</f>
        <v>#VALUE!</v>
      </c>
      <c r="L3" t="e">
        <f>AND(等级属性!E23,"AAAAAH9T4Qs=")</f>
        <v>#VALUE!</v>
      </c>
      <c r="M3" t="e">
        <f>AND(等级属性!F23,"AAAAAH9T4Qw=")</f>
        <v>#VALUE!</v>
      </c>
      <c r="N3" t="e">
        <f>AND(等级属性!G23,"AAAAAH9T4Q0=")</f>
        <v>#VALUE!</v>
      </c>
      <c r="O3" t="e">
        <f>AND(等级属性!H23,"AAAAAH9T4Q4=")</f>
        <v>#VALUE!</v>
      </c>
      <c r="P3" t="e">
        <f>AND(等级属性!I23,"AAAAAH9T4Q8=")</f>
        <v>#VALUE!</v>
      </c>
      <c r="Q3" t="e">
        <f>AND(等级属性!J23,"AAAAAH9T4RA=")</f>
        <v>#VALUE!</v>
      </c>
      <c r="R3" t="e">
        <f>AND(等级属性!K23,"AAAAAH9T4RE=")</f>
        <v>#VALUE!</v>
      </c>
      <c r="S3" t="e">
        <f>AND(等级属性!L23,"AAAAAH9T4RI=")</f>
        <v>#VALUE!</v>
      </c>
      <c r="T3" t="e">
        <f>AND(等级属性!M23,"AAAAAH9T4RM=")</f>
        <v>#VALUE!</v>
      </c>
      <c r="U3" t="e">
        <f>AND(等级属性!N23,"AAAAAH9T4RQ=")</f>
        <v>#VALUE!</v>
      </c>
      <c r="V3" t="e">
        <f>AND(等级属性!O23,"AAAAAH9T4RU=")</f>
        <v>#VALUE!</v>
      </c>
      <c r="W3" t="e">
        <f>AND(等级属性!P23,"AAAAAH9T4RY=")</f>
        <v>#VALUE!</v>
      </c>
      <c r="X3" t="e">
        <f>AND(等级属性!Q23,"AAAAAH9T4Rc=")</f>
        <v>#VALUE!</v>
      </c>
      <c r="Y3" t="e">
        <f>AND(等级属性!R23,"AAAAAH9T4Rg=")</f>
        <v>#VALUE!</v>
      </c>
      <c r="Z3" t="e">
        <f>AND(等级属性!S23,"AAAAAH9T4Rk=")</f>
        <v>#VALUE!</v>
      </c>
      <c r="AA3">
        <f>IF(等级属性!24:24,"AAAAAH9T4Ro=",0)</f>
        <v>0</v>
      </c>
      <c r="AB3" t="e">
        <f>AND(等级属性!A24,"AAAAAH9T4Rs=")</f>
        <v>#VALUE!</v>
      </c>
      <c r="AC3" t="e">
        <f>AND(等级属性!B24,"AAAAAH9T4Rw=")</f>
        <v>#VALUE!</v>
      </c>
      <c r="AD3" t="e">
        <f>AND(等级属性!C24,"AAAAAH9T4R0=")</f>
        <v>#VALUE!</v>
      </c>
      <c r="AE3" t="e">
        <f>AND(等级属性!D24,"AAAAAH9T4R4=")</f>
        <v>#VALUE!</v>
      </c>
      <c r="AF3" t="e">
        <f>AND(等级属性!E24,"AAAAAH9T4R8=")</f>
        <v>#VALUE!</v>
      </c>
      <c r="AG3" t="e">
        <f>AND(等级属性!F24,"AAAAAH9T4SA=")</f>
        <v>#VALUE!</v>
      </c>
      <c r="AH3" t="e">
        <f>AND(等级属性!G24,"AAAAAH9T4SE=")</f>
        <v>#VALUE!</v>
      </c>
      <c r="AI3" t="e">
        <f>AND(等级属性!H24,"AAAAAH9T4SI=")</f>
        <v>#VALUE!</v>
      </c>
      <c r="AJ3" t="e">
        <f>AND(等级属性!I24,"AAAAAH9T4SM=")</f>
        <v>#VALUE!</v>
      </c>
      <c r="AK3" t="e">
        <f>AND(等级属性!J24,"AAAAAH9T4SQ=")</f>
        <v>#VALUE!</v>
      </c>
      <c r="AL3" t="e">
        <f>AND(等级属性!K24,"AAAAAH9T4SU=")</f>
        <v>#VALUE!</v>
      </c>
      <c r="AM3" t="e">
        <f>AND(等级属性!L24,"AAAAAH9T4SY=")</f>
        <v>#VALUE!</v>
      </c>
      <c r="AN3" t="e">
        <f>AND(等级属性!M24,"AAAAAH9T4Sc=")</f>
        <v>#VALUE!</v>
      </c>
      <c r="AO3" t="e">
        <f>AND(等级属性!N24,"AAAAAH9T4Sg=")</f>
        <v>#VALUE!</v>
      </c>
      <c r="AP3" t="e">
        <f>AND(等级属性!O24,"AAAAAH9T4Sk=")</f>
        <v>#VALUE!</v>
      </c>
      <c r="AQ3" t="e">
        <f>AND(等级属性!P24,"AAAAAH9T4So=")</f>
        <v>#VALUE!</v>
      </c>
      <c r="AR3" t="e">
        <f>AND(等级属性!Q24,"AAAAAH9T4Ss=")</f>
        <v>#VALUE!</v>
      </c>
      <c r="AS3" t="e">
        <f>AND(等级属性!R24,"AAAAAH9T4Sw=")</f>
        <v>#VALUE!</v>
      </c>
      <c r="AT3" t="e">
        <f>AND(等级属性!S24,"AAAAAH9T4S0=")</f>
        <v>#VALUE!</v>
      </c>
      <c r="AU3">
        <f>IF(等级属性!25:25,"AAAAAH9T4S4=",0)</f>
        <v>0</v>
      </c>
      <c r="AV3" t="e">
        <f>AND(等级属性!A25,"AAAAAH9T4S8=")</f>
        <v>#VALUE!</v>
      </c>
      <c r="AW3" t="e">
        <f>AND(等级属性!B25,"AAAAAH9T4TA=")</f>
        <v>#VALUE!</v>
      </c>
      <c r="AX3" t="e">
        <f>AND(等级属性!C25,"AAAAAH9T4TE=")</f>
        <v>#VALUE!</v>
      </c>
      <c r="AY3" t="e">
        <f>AND(等级属性!D25,"AAAAAH9T4TI=")</f>
        <v>#VALUE!</v>
      </c>
      <c r="AZ3" t="e">
        <f>AND(等级属性!E25,"AAAAAH9T4TM=")</f>
        <v>#VALUE!</v>
      </c>
      <c r="BA3" t="e">
        <f>AND(等级属性!F25,"AAAAAH9T4TQ=")</f>
        <v>#VALUE!</v>
      </c>
      <c r="BB3" t="e">
        <f>AND(等级属性!G25,"AAAAAH9T4TU=")</f>
        <v>#VALUE!</v>
      </c>
      <c r="BC3" t="e">
        <f>AND(等级属性!H25,"AAAAAH9T4TY=")</f>
        <v>#VALUE!</v>
      </c>
      <c r="BD3" t="e">
        <f>AND(等级属性!I25,"AAAAAH9T4Tc=")</f>
        <v>#VALUE!</v>
      </c>
      <c r="BE3" t="e">
        <f>AND(等级属性!J25,"AAAAAH9T4Tg=")</f>
        <v>#VALUE!</v>
      </c>
      <c r="BF3" t="e">
        <f>AND(等级属性!K25,"AAAAAH9T4Tk=")</f>
        <v>#VALUE!</v>
      </c>
      <c r="BG3" t="e">
        <f>AND(等级属性!L25,"AAAAAH9T4To=")</f>
        <v>#VALUE!</v>
      </c>
      <c r="BH3" t="e">
        <f>AND(等级属性!M25,"AAAAAH9T4Ts=")</f>
        <v>#VALUE!</v>
      </c>
      <c r="BI3" t="e">
        <f>AND(等级属性!N25,"AAAAAH9T4Tw=")</f>
        <v>#VALUE!</v>
      </c>
      <c r="BJ3" t="e">
        <f>AND(等级属性!O25,"AAAAAH9T4T0=")</f>
        <v>#VALUE!</v>
      </c>
      <c r="BK3" t="e">
        <f>AND(等级属性!P25,"AAAAAH9T4T4=")</f>
        <v>#VALUE!</v>
      </c>
      <c r="BL3" t="e">
        <f>AND(等级属性!Q25,"AAAAAH9T4T8=")</f>
        <v>#VALUE!</v>
      </c>
      <c r="BM3" t="e">
        <f>AND(等级属性!R25,"AAAAAH9T4UA=")</f>
        <v>#VALUE!</v>
      </c>
      <c r="BN3" t="e">
        <f>AND(等级属性!S25,"AAAAAH9T4UE=")</f>
        <v>#VALUE!</v>
      </c>
      <c r="BO3">
        <f>IF(等级属性!26:26,"AAAAAH9T4UI=",0)</f>
        <v>0</v>
      </c>
      <c r="BP3" t="e">
        <f>AND(等级属性!A26,"AAAAAH9T4UM=")</f>
        <v>#VALUE!</v>
      </c>
      <c r="BQ3" t="e">
        <f>AND(等级属性!B26,"AAAAAH9T4UQ=")</f>
        <v>#VALUE!</v>
      </c>
      <c r="BR3" t="e">
        <f>AND(等级属性!C26,"AAAAAH9T4UU=")</f>
        <v>#VALUE!</v>
      </c>
      <c r="BS3" t="e">
        <f>AND(等级属性!D26,"AAAAAH9T4UY=")</f>
        <v>#VALUE!</v>
      </c>
      <c r="BT3" t="e">
        <f>AND(等级属性!E26,"AAAAAH9T4Uc=")</f>
        <v>#VALUE!</v>
      </c>
      <c r="BU3" t="e">
        <f>AND(等级属性!F26,"AAAAAH9T4Ug=")</f>
        <v>#VALUE!</v>
      </c>
      <c r="BV3" t="e">
        <f>AND(等级属性!G26,"AAAAAH9T4Uk=")</f>
        <v>#VALUE!</v>
      </c>
      <c r="BW3" t="e">
        <f>AND(等级属性!H26,"AAAAAH9T4Uo=")</f>
        <v>#VALUE!</v>
      </c>
      <c r="BX3" t="e">
        <f>AND(等级属性!I26,"AAAAAH9T4Us=")</f>
        <v>#VALUE!</v>
      </c>
      <c r="BY3" t="e">
        <f>AND(等级属性!J26,"AAAAAH9T4Uw=")</f>
        <v>#VALUE!</v>
      </c>
      <c r="BZ3" t="e">
        <f>AND(等级属性!K26,"AAAAAH9T4U0=")</f>
        <v>#VALUE!</v>
      </c>
      <c r="CA3" t="e">
        <f>AND(等级属性!L26,"AAAAAH9T4U4=")</f>
        <v>#VALUE!</v>
      </c>
      <c r="CB3" t="e">
        <f>AND(等级属性!M26,"AAAAAH9T4U8=")</f>
        <v>#VALUE!</v>
      </c>
      <c r="CC3" t="e">
        <f>AND(等级属性!N26,"AAAAAH9T4VA=")</f>
        <v>#VALUE!</v>
      </c>
      <c r="CD3" t="e">
        <f>AND(等级属性!O26,"AAAAAH9T4VE=")</f>
        <v>#VALUE!</v>
      </c>
      <c r="CE3" t="e">
        <f>AND(等级属性!P26,"AAAAAH9T4VI=")</f>
        <v>#VALUE!</v>
      </c>
      <c r="CF3" t="e">
        <f>AND(等级属性!Q26,"AAAAAH9T4VM=")</f>
        <v>#VALUE!</v>
      </c>
      <c r="CG3" t="e">
        <f>AND(等级属性!R26,"AAAAAH9T4VQ=")</f>
        <v>#VALUE!</v>
      </c>
      <c r="CH3" t="e">
        <f>AND(等级属性!S26,"AAAAAH9T4VU=")</f>
        <v>#VALUE!</v>
      </c>
      <c r="CI3">
        <f>IF(等级属性!27:27,"AAAAAH9T4VY=",0)</f>
        <v>0</v>
      </c>
      <c r="CJ3" t="e">
        <f>AND(等级属性!A27,"AAAAAH9T4Vc=")</f>
        <v>#VALUE!</v>
      </c>
      <c r="CK3" t="e">
        <f>AND(等级属性!B27,"AAAAAH9T4Vg=")</f>
        <v>#VALUE!</v>
      </c>
      <c r="CL3" t="e">
        <f>AND(等级属性!C27,"AAAAAH9T4Vk=")</f>
        <v>#VALUE!</v>
      </c>
      <c r="CM3" t="e">
        <f>AND(等级属性!D27,"AAAAAH9T4Vo=")</f>
        <v>#VALUE!</v>
      </c>
      <c r="CN3" t="e">
        <f>AND(等级属性!E27,"AAAAAH9T4Vs=")</f>
        <v>#VALUE!</v>
      </c>
      <c r="CO3" t="e">
        <f>AND(等级属性!F27,"AAAAAH9T4Vw=")</f>
        <v>#VALUE!</v>
      </c>
      <c r="CP3" t="e">
        <f>AND(等级属性!G27,"AAAAAH9T4V0=")</f>
        <v>#VALUE!</v>
      </c>
      <c r="CQ3" t="e">
        <f>AND(等级属性!H27,"AAAAAH9T4V4=")</f>
        <v>#VALUE!</v>
      </c>
      <c r="CR3" t="e">
        <f>AND(等级属性!I27,"AAAAAH9T4V8=")</f>
        <v>#VALUE!</v>
      </c>
      <c r="CS3" t="e">
        <f>AND(等级属性!J27,"AAAAAH9T4WA=")</f>
        <v>#VALUE!</v>
      </c>
      <c r="CT3" t="e">
        <f>AND(等级属性!K27,"AAAAAH9T4WE=")</f>
        <v>#VALUE!</v>
      </c>
      <c r="CU3" t="e">
        <f>AND(等级属性!L27,"AAAAAH9T4WI=")</f>
        <v>#VALUE!</v>
      </c>
      <c r="CV3" t="e">
        <f>AND(等级属性!M27,"AAAAAH9T4WM=")</f>
        <v>#VALUE!</v>
      </c>
      <c r="CW3" t="e">
        <f>AND(等级属性!N27,"AAAAAH9T4WQ=")</f>
        <v>#VALUE!</v>
      </c>
      <c r="CX3" t="e">
        <f>AND(等级属性!O27,"AAAAAH9T4WU=")</f>
        <v>#VALUE!</v>
      </c>
      <c r="CY3" t="e">
        <f>AND(等级属性!P27,"AAAAAH9T4WY=")</f>
        <v>#VALUE!</v>
      </c>
      <c r="CZ3" t="e">
        <f>AND(等级属性!Q27,"AAAAAH9T4Wc=")</f>
        <v>#VALUE!</v>
      </c>
      <c r="DA3" t="e">
        <f>AND(等级属性!R27,"AAAAAH9T4Wg=")</f>
        <v>#VALUE!</v>
      </c>
      <c r="DB3" t="e">
        <f>AND(等级属性!S27,"AAAAAH9T4Wk=")</f>
        <v>#VALUE!</v>
      </c>
      <c r="DC3">
        <f>IF(等级属性!28:28,"AAAAAH9T4Wo=",0)</f>
        <v>0</v>
      </c>
      <c r="DD3" t="e">
        <f>AND(等级属性!A28,"AAAAAH9T4Ws=")</f>
        <v>#VALUE!</v>
      </c>
      <c r="DE3" t="e">
        <f>AND(等级属性!B28,"AAAAAH9T4Ww=")</f>
        <v>#VALUE!</v>
      </c>
      <c r="DF3" t="e">
        <f>AND(等级属性!C28,"AAAAAH9T4W0=")</f>
        <v>#VALUE!</v>
      </c>
      <c r="DG3" t="e">
        <f>AND(等级属性!D28,"AAAAAH9T4W4=")</f>
        <v>#VALUE!</v>
      </c>
      <c r="DH3" t="e">
        <f>AND(等级属性!E28,"AAAAAH9T4W8=")</f>
        <v>#VALUE!</v>
      </c>
      <c r="DI3" t="e">
        <f>AND(等级属性!F28,"AAAAAH9T4XA=")</f>
        <v>#VALUE!</v>
      </c>
      <c r="DJ3" t="e">
        <f>AND(等级属性!G28,"AAAAAH9T4XE=")</f>
        <v>#VALUE!</v>
      </c>
      <c r="DK3" t="e">
        <f>AND(等级属性!H28,"AAAAAH9T4XI=")</f>
        <v>#VALUE!</v>
      </c>
      <c r="DL3" t="e">
        <f>AND(等级属性!I28,"AAAAAH9T4XM=")</f>
        <v>#VALUE!</v>
      </c>
      <c r="DM3" t="e">
        <f>AND(等级属性!J28,"AAAAAH9T4XQ=")</f>
        <v>#VALUE!</v>
      </c>
      <c r="DN3" t="e">
        <f>AND(等级属性!K28,"AAAAAH9T4XU=")</f>
        <v>#VALUE!</v>
      </c>
      <c r="DO3" t="e">
        <f>AND(等级属性!L28,"AAAAAH9T4XY=")</f>
        <v>#VALUE!</v>
      </c>
      <c r="DP3" t="e">
        <f>AND(等级属性!M28,"AAAAAH9T4Xc=")</f>
        <v>#VALUE!</v>
      </c>
      <c r="DQ3" t="e">
        <f>AND(等级属性!N28,"AAAAAH9T4Xg=")</f>
        <v>#VALUE!</v>
      </c>
      <c r="DR3" t="e">
        <f>AND(等级属性!O28,"AAAAAH9T4Xk=")</f>
        <v>#VALUE!</v>
      </c>
      <c r="DS3" t="e">
        <f>AND(等级属性!P28,"AAAAAH9T4Xo=")</f>
        <v>#VALUE!</v>
      </c>
      <c r="DT3" t="e">
        <f>AND(等级属性!Q28,"AAAAAH9T4Xs=")</f>
        <v>#VALUE!</v>
      </c>
      <c r="DU3" t="e">
        <f>AND(等级属性!R28,"AAAAAH9T4Xw=")</f>
        <v>#VALUE!</v>
      </c>
      <c r="DV3" t="e">
        <f>AND(等级属性!S28,"AAAAAH9T4X0=")</f>
        <v>#VALUE!</v>
      </c>
      <c r="DW3">
        <f>IF(等级属性!29:29,"AAAAAH9T4X4=",0)</f>
        <v>0</v>
      </c>
      <c r="DX3" t="e">
        <f>AND(等级属性!A29,"AAAAAH9T4X8=")</f>
        <v>#VALUE!</v>
      </c>
      <c r="DY3" t="e">
        <f>AND(等级属性!B29,"AAAAAH9T4YA=")</f>
        <v>#VALUE!</v>
      </c>
      <c r="DZ3" t="e">
        <f>AND(等级属性!C29,"AAAAAH9T4YE=")</f>
        <v>#VALUE!</v>
      </c>
      <c r="EA3" t="e">
        <f>AND(等级属性!D29,"AAAAAH9T4YI=")</f>
        <v>#VALUE!</v>
      </c>
      <c r="EB3" t="e">
        <f>AND(等级属性!E29,"AAAAAH9T4YM=")</f>
        <v>#VALUE!</v>
      </c>
      <c r="EC3" t="e">
        <f>AND(等级属性!F29,"AAAAAH9T4YQ=")</f>
        <v>#VALUE!</v>
      </c>
      <c r="ED3" t="e">
        <f>AND(等级属性!G29,"AAAAAH9T4YU=")</f>
        <v>#VALUE!</v>
      </c>
      <c r="EE3" t="e">
        <f>AND(等级属性!H29,"AAAAAH9T4YY=")</f>
        <v>#VALUE!</v>
      </c>
      <c r="EF3" t="e">
        <f>AND(等级属性!I29,"AAAAAH9T4Yc=")</f>
        <v>#VALUE!</v>
      </c>
      <c r="EG3" t="e">
        <f>AND(等级属性!J29,"AAAAAH9T4Yg=")</f>
        <v>#VALUE!</v>
      </c>
      <c r="EH3" t="e">
        <f>AND(等级属性!K29,"AAAAAH9T4Yk=")</f>
        <v>#VALUE!</v>
      </c>
      <c r="EI3" t="e">
        <f>AND(等级属性!L29,"AAAAAH9T4Yo=")</f>
        <v>#VALUE!</v>
      </c>
      <c r="EJ3" t="e">
        <f>AND(等级属性!M29,"AAAAAH9T4Ys=")</f>
        <v>#VALUE!</v>
      </c>
      <c r="EK3" t="e">
        <f>AND(等级属性!N29,"AAAAAH9T4Yw=")</f>
        <v>#VALUE!</v>
      </c>
      <c r="EL3" t="e">
        <f>AND(等级属性!O29,"AAAAAH9T4Y0=")</f>
        <v>#VALUE!</v>
      </c>
      <c r="EM3" t="e">
        <f>AND(等级属性!P29,"AAAAAH9T4Y4=")</f>
        <v>#VALUE!</v>
      </c>
      <c r="EN3" t="e">
        <f>AND(等级属性!Q29,"AAAAAH9T4Y8=")</f>
        <v>#VALUE!</v>
      </c>
      <c r="EO3" t="e">
        <f>AND(等级属性!R29,"AAAAAH9T4ZA=")</f>
        <v>#VALUE!</v>
      </c>
      <c r="EP3" t="e">
        <f>AND(等级属性!S29,"AAAAAH9T4ZE=")</f>
        <v>#VALUE!</v>
      </c>
      <c r="EQ3">
        <f>IF(等级属性!30:30,"AAAAAH9T4ZI=",0)</f>
        <v>0</v>
      </c>
      <c r="ER3" t="e">
        <f>AND(等级属性!A30,"AAAAAH9T4ZM=")</f>
        <v>#VALUE!</v>
      </c>
      <c r="ES3" t="e">
        <f>AND(等级属性!B30,"AAAAAH9T4ZQ=")</f>
        <v>#VALUE!</v>
      </c>
      <c r="ET3" t="e">
        <f>AND(等级属性!C30,"AAAAAH9T4ZU=")</f>
        <v>#VALUE!</v>
      </c>
      <c r="EU3" t="e">
        <f>AND(等级属性!D30,"AAAAAH9T4ZY=")</f>
        <v>#VALUE!</v>
      </c>
      <c r="EV3" t="e">
        <f>AND(等级属性!E30,"AAAAAH9T4Zc=")</f>
        <v>#VALUE!</v>
      </c>
      <c r="EW3" t="e">
        <f>AND(等级属性!F30,"AAAAAH9T4Zg=")</f>
        <v>#VALUE!</v>
      </c>
      <c r="EX3" t="e">
        <f>AND(等级属性!G30,"AAAAAH9T4Zk=")</f>
        <v>#VALUE!</v>
      </c>
      <c r="EY3" t="e">
        <f>AND(等级属性!H30,"AAAAAH9T4Zo=")</f>
        <v>#VALUE!</v>
      </c>
      <c r="EZ3" t="e">
        <f>AND(等级属性!I30,"AAAAAH9T4Zs=")</f>
        <v>#VALUE!</v>
      </c>
      <c r="FA3" t="e">
        <f>AND(等级属性!J30,"AAAAAH9T4Zw=")</f>
        <v>#VALUE!</v>
      </c>
      <c r="FB3" t="e">
        <f>AND(等级属性!K30,"AAAAAH9T4Z0=")</f>
        <v>#VALUE!</v>
      </c>
      <c r="FC3" t="e">
        <f>AND(等级属性!L30,"AAAAAH9T4Z4=")</f>
        <v>#VALUE!</v>
      </c>
      <c r="FD3" t="e">
        <f>AND(等级属性!M30,"AAAAAH9T4Z8=")</f>
        <v>#VALUE!</v>
      </c>
      <c r="FE3" t="e">
        <f>AND(等级属性!N30,"AAAAAH9T4aA=")</f>
        <v>#VALUE!</v>
      </c>
      <c r="FF3" t="e">
        <f>AND(等级属性!O30,"AAAAAH9T4aE=")</f>
        <v>#VALUE!</v>
      </c>
      <c r="FG3" t="e">
        <f>AND(等级属性!P30,"AAAAAH9T4aI=")</f>
        <v>#VALUE!</v>
      </c>
      <c r="FH3" t="e">
        <f>AND(等级属性!Q30,"AAAAAH9T4aM=")</f>
        <v>#VALUE!</v>
      </c>
      <c r="FI3" t="e">
        <f>AND(等级属性!R30,"AAAAAH9T4aQ=")</f>
        <v>#VALUE!</v>
      </c>
      <c r="FJ3" t="e">
        <f>AND(等级属性!S30,"AAAAAH9T4aU=")</f>
        <v>#VALUE!</v>
      </c>
      <c r="FK3">
        <f>IF(等级属性!31:31,"AAAAAH9T4aY=",0)</f>
        <v>0</v>
      </c>
      <c r="FL3" t="e">
        <f>AND(等级属性!A31,"AAAAAH9T4ac=")</f>
        <v>#VALUE!</v>
      </c>
      <c r="FM3" t="e">
        <f>AND(等级属性!B31,"AAAAAH9T4ag=")</f>
        <v>#VALUE!</v>
      </c>
      <c r="FN3" t="e">
        <f>AND(等级属性!C31,"AAAAAH9T4ak=")</f>
        <v>#VALUE!</v>
      </c>
      <c r="FO3" t="e">
        <f>AND(等级属性!D31,"AAAAAH9T4ao=")</f>
        <v>#VALUE!</v>
      </c>
      <c r="FP3" t="e">
        <f>AND(等级属性!E31,"AAAAAH9T4as=")</f>
        <v>#VALUE!</v>
      </c>
      <c r="FQ3" t="e">
        <f>AND(等级属性!F31,"AAAAAH9T4aw=")</f>
        <v>#VALUE!</v>
      </c>
      <c r="FR3" t="e">
        <f>AND(等级属性!G31,"AAAAAH9T4a0=")</f>
        <v>#VALUE!</v>
      </c>
      <c r="FS3" t="e">
        <f>AND(等级属性!H31,"AAAAAH9T4a4=")</f>
        <v>#VALUE!</v>
      </c>
      <c r="FT3" t="e">
        <f>AND(等级属性!I31,"AAAAAH9T4a8=")</f>
        <v>#VALUE!</v>
      </c>
      <c r="FU3" t="e">
        <f>AND(等级属性!J31,"AAAAAH9T4bA=")</f>
        <v>#VALUE!</v>
      </c>
      <c r="FV3" t="e">
        <f>AND(等级属性!K31,"AAAAAH9T4bE=")</f>
        <v>#VALUE!</v>
      </c>
      <c r="FW3" t="e">
        <f>AND(等级属性!L31,"AAAAAH9T4bI=")</f>
        <v>#VALUE!</v>
      </c>
      <c r="FX3" t="e">
        <f>AND(等级属性!M31,"AAAAAH9T4bM=")</f>
        <v>#VALUE!</v>
      </c>
      <c r="FY3" t="e">
        <f>AND(等级属性!N31,"AAAAAH9T4bQ=")</f>
        <v>#VALUE!</v>
      </c>
      <c r="FZ3" t="e">
        <f>AND(等级属性!O31,"AAAAAH9T4bU=")</f>
        <v>#VALUE!</v>
      </c>
      <c r="GA3" t="e">
        <f>AND(等级属性!P31,"AAAAAH9T4bY=")</f>
        <v>#VALUE!</v>
      </c>
      <c r="GB3" t="e">
        <f>AND(等级属性!Q31,"AAAAAH9T4bc=")</f>
        <v>#VALUE!</v>
      </c>
      <c r="GC3" t="e">
        <f>AND(等级属性!R31,"AAAAAH9T4bg=")</f>
        <v>#VALUE!</v>
      </c>
      <c r="GD3" t="e">
        <f>AND(等级属性!S31,"AAAAAH9T4bk=")</f>
        <v>#VALUE!</v>
      </c>
      <c r="GE3">
        <f>IF(等级属性!32:32,"AAAAAH9T4bo=",0)</f>
        <v>0</v>
      </c>
      <c r="GF3" t="e">
        <f>AND(等级属性!A32,"AAAAAH9T4bs=")</f>
        <v>#VALUE!</v>
      </c>
      <c r="GG3" t="e">
        <f>AND(等级属性!B32,"AAAAAH9T4bw=")</f>
        <v>#VALUE!</v>
      </c>
      <c r="GH3" t="e">
        <f>AND(等级属性!C32,"AAAAAH9T4b0=")</f>
        <v>#VALUE!</v>
      </c>
      <c r="GI3" t="e">
        <f>AND(等级属性!D32,"AAAAAH9T4b4=")</f>
        <v>#VALUE!</v>
      </c>
      <c r="GJ3" t="e">
        <f>AND(等级属性!E32,"AAAAAH9T4b8=")</f>
        <v>#VALUE!</v>
      </c>
      <c r="GK3" t="e">
        <f>AND(等级属性!F32,"AAAAAH9T4cA=")</f>
        <v>#VALUE!</v>
      </c>
      <c r="GL3" t="e">
        <f>AND(等级属性!G32,"AAAAAH9T4cE=")</f>
        <v>#VALUE!</v>
      </c>
      <c r="GM3" t="e">
        <f>AND(等级属性!H32,"AAAAAH9T4cI=")</f>
        <v>#VALUE!</v>
      </c>
      <c r="GN3" t="e">
        <f>AND(等级属性!I32,"AAAAAH9T4cM=")</f>
        <v>#VALUE!</v>
      </c>
      <c r="GO3" t="e">
        <f>AND(等级属性!J32,"AAAAAH9T4cQ=")</f>
        <v>#VALUE!</v>
      </c>
      <c r="GP3" t="e">
        <f>AND(等级属性!K32,"AAAAAH9T4cU=")</f>
        <v>#VALUE!</v>
      </c>
      <c r="GQ3" t="e">
        <f>AND(等级属性!L32,"AAAAAH9T4cY=")</f>
        <v>#VALUE!</v>
      </c>
      <c r="GR3" t="e">
        <f>AND(等级属性!M32,"AAAAAH9T4cc=")</f>
        <v>#VALUE!</v>
      </c>
      <c r="GS3" t="e">
        <f>AND(等级属性!N32,"AAAAAH9T4cg=")</f>
        <v>#VALUE!</v>
      </c>
      <c r="GT3" t="e">
        <f>AND(等级属性!O32,"AAAAAH9T4ck=")</f>
        <v>#VALUE!</v>
      </c>
      <c r="GU3" t="e">
        <f>AND(等级属性!P32,"AAAAAH9T4co=")</f>
        <v>#VALUE!</v>
      </c>
      <c r="GV3" t="e">
        <f>AND(等级属性!Q32,"AAAAAH9T4cs=")</f>
        <v>#VALUE!</v>
      </c>
      <c r="GW3" t="e">
        <f>AND(等级属性!R32,"AAAAAH9T4cw=")</f>
        <v>#VALUE!</v>
      </c>
      <c r="GX3" t="e">
        <f>AND(等级属性!S32,"AAAAAH9T4c0=")</f>
        <v>#VALUE!</v>
      </c>
      <c r="GY3">
        <f>IF(等级属性!33:33,"AAAAAH9T4c4=",0)</f>
        <v>0</v>
      </c>
      <c r="GZ3" t="e">
        <f>AND(等级属性!A33,"AAAAAH9T4c8=")</f>
        <v>#VALUE!</v>
      </c>
      <c r="HA3" t="e">
        <f>AND(等级属性!B33,"AAAAAH9T4dA=")</f>
        <v>#VALUE!</v>
      </c>
      <c r="HB3" t="e">
        <f>AND(等级属性!C33,"AAAAAH9T4dE=")</f>
        <v>#VALUE!</v>
      </c>
      <c r="HC3" t="e">
        <f>AND(等级属性!D33,"AAAAAH9T4dI=")</f>
        <v>#VALUE!</v>
      </c>
      <c r="HD3" t="e">
        <f>AND(等级属性!E33,"AAAAAH9T4dM=")</f>
        <v>#VALUE!</v>
      </c>
      <c r="HE3" t="e">
        <f>AND(等级属性!F33,"AAAAAH9T4dQ=")</f>
        <v>#VALUE!</v>
      </c>
      <c r="HF3" t="e">
        <f>AND(等级属性!G33,"AAAAAH9T4dU=")</f>
        <v>#VALUE!</v>
      </c>
      <c r="HG3" t="e">
        <f>AND(等级属性!H33,"AAAAAH9T4dY=")</f>
        <v>#VALUE!</v>
      </c>
      <c r="HH3" t="e">
        <f>AND(等级属性!I33,"AAAAAH9T4dc=")</f>
        <v>#VALUE!</v>
      </c>
      <c r="HI3" t="e">
        <f>AND(等级属性!J33,"AAAAAH9T4dg=")</f>
        <v>#VALUE!</v>
      </c>
      <c r="HJ3" t="e">
        <f>AND(等级属性!K33,"AAAAAH9T4dk=")</f>
        <v>#VALUE!</v>
      </c>
      <c r="HK3" t="e">
        <f>AND(等级属性!L33,"AAAAAH9T4do=")</f>
        <v>#VALUE!</v>
      </c>
      <c r="HL3" t="e">
        <f>AND(等级属性!M33,"AAAAAH9T4ds=")</f>
        <v>#VALUE!</v>
      </c>
      <c r="HM3" t="e">
        <f>AND(等级属性!N33,"AAAAAH9T4dw=")</f>
        <v>#VALUE!</v>
      </c>
      <c r="HN3" t="e">
        <f>AND(等级属性!O33,"AAAAAH9T4d0=")</f>
        <v>#VALUE!</v>
      </c>
      <c r="HO3" t="e">
        <f>AND(等级属性!P33,"AAAAAH9T4d4=")</f>
        <v>#VALUE!</v>
      </c>
      <c r="HP3" t="e">
        <f>AND(等级属性!Q33,"AAAAAH9T4d8=")</f>
        <v>#VALUE!</v>
      </c>
      <c r="HQ3" t="e">
        <f>AND(等级属性!R33,"AAAAAH9T4eA=")</f>
        <v>#VALUE!</v>
      </c>
      <c r="HR3" t="e">
        <f>AND(等级属性!S33,"AAAAAH9T4eE=")</f>
        <v>#VALUE!</v>
      </c>
      <c r="HS3">
        <f>IF(等级属性!34:34,"AAAAAH9T4eI=",0)</f>
        <v>0</v>
      </c>
      <c r="HT3" t="e">
        <f>AND(等级属性!A34,"AAAAAH9T4eM=")</f>
        <v>#VALUE!</v>
      </c>
      <c r="HU3" t="e">
        <f>AND(等级属性!B34,"AAAAAH9T4eQ=")</f>
        <v>#VALUE!</v>
      </c>
      <c r="HV3" t="e">
        <f>AND(等级属性!C34,"AAAAAH9T4eU=")</f>
        <v>#VALUE!</v>
      </c>
      <c r="HW3" t="e">
        <f>AND(等级属性!D34,"AAAAAH9T4eY=")</f>
        <v>#VALUE!</v>
      </c>
      <c r="HX3" t="e">
        <f>AND(等级属性!E34,"AAAAAH9T4ec=")</f>
        <v>#VALUE!</v>
      </c>
      <c r="HY3" t="e">
        <f>AND(等级属性!F34,"AAAAAH9T4eg=")</f>
        <v>#VALUE!</v>
      </c>
      <c r="HZ3" t="e">
        <f>AND(等级属性!G34,"AAAAAH9T4ek=")</f>
        <v>#VALUE!</v>
      </c>
      <c r="IA3" t="e">
        <f>AND(等级属性!H34,"AAAAAH9T4eo=")</f>
        <v>#VALUE!</v>
      </c>
      <c r="IB3" t="e">
        <f>AND(等级属性!I34,"AAAAAH9T4es=")</f>
        <v>#VALUE!</v>
      </c>
      <c r="IC3" t="e">
        <f>AND(等级属性!J34,"AAAAAH9T4ew=")</f>
        <v>#VALUE!</v>
      </c>
      <c r="ID3" t="e">
        <f>AND(等级属性!K34,"AAAAAH9T4e0=")</f>
        <v>#VALUE!</v>
      </c>
      <c r="IE3" t="e">
        <f>AND(等级属性!L34,"AAAAAH9T4e4=")</f>
        <v>#VALUE!</v>
      </c>
      <c r="IF3" t="e">
        <f>AND(等级属性!M34,"AAAAAH9T4e8=")</f>
        <v>#VALUE!</v>
      </c>
      <c r="IG3" t="e">
        <f>AND(等级属性!N34,"AAAAAH9T4fA=")</f>
        <v>#VALUE!</v>
      </c>
      <c r="IH3" t="e">
        <f>AND(等级属性!O34,"AAAAAH9T4fE=")</f>
        <v>#VALUE!</v>
      </c>
      <c r="II3" t="e">
        <f>AND(等级属性!P34,"AAAAAH9T4fI=")</f>
        <v>#VALUE!</v>
      </c>
      <c r="IJ3" t="e">
        <f>AND(等级属性!Q34,"AAAAAH9T4fM=")</f>
        <v>#VALUE!</v>
      </c>
      <c r="IK3" t="e">
        <f>AND(等级属性!R34,"AAAAAH9T4fQ=")</f>
        <v>#VALUE!</v>
      </c>
      <c r="IL3" t="e">
        <f>AND(等级属性!S34,"AAAAAH9T4fU=")</f>
        <v>#VALUE!</v>
      </c>
      <c r="IM3">
        <f>IF(等级属性!35:35,"AAAAAH9T4fY=",0)</f>
        <v>0</v>
      </c>
      <c r="IN3" t="e">
        <f>AND(等级属性!A35,"AAAAAH9T4fc=")</f>
        <v>#VALUE!</v>
      </c>
      <c r="IO3" t="e">
        <f>AND(等级属性!B35,"AAAAAH9T4fg=")</f>
        <v>#VALUE!</v>
      </c>
      <c r="IP3" t="e">
        <f>AND(等级属性!C35,"AAAAAH9T4fk=")</f>
        <v>#VALUE!</v>
      </c>
      <c r="IQ3" t="e">
        <f>AND(等级属性!D35,"AAAAAH9T4fo=")</f>
        <v>#VALUE!</v>
      </c>
      <c r="IR3" t="e">
        <f>AND(等级属性!E35,"AAAAAH9T4fs=")</f>
        <v>#VALUE!</v>
      </c>
      <c r="IS3" t="e">
        <f>AND(等级属性!F35,"AAAAAH9T4fw=")</f>
        <v>#VALUE!</v>
      </c>
      <c r="IT3" t="e">
        <f>AND(等级属性!G35,"AAAAAH9T4f0=")</f>
        <v>#VALUE!</v>
      </c>
      <c r="IU3" t="e">
        <f>AND(等级属性!H35,"AAAAAH9T4f4=")</f>
        <v>#VALUE!</v>
      </c>
      <c r="IV3" t="e">
        <f>AND(等级属性!I35,"AAAAAH9T4f8=")</f>
        <v>#VALUE!</v>
      </c>
    </row>
    <row r="4" spans="1:256">
      <c r="A4" t="e">
        <f>AND(等级属性!J35,"AAAAAHc+9wA=")</f>
        <v>#VALUE!</v>
      </c>
      <c r="B4" t="e">
        <f>AND(等级属性!K35,"AAAAAHc+9wE=")</f>
        <v>#VALUE!</v>
      </c>
      <c r="C4" t="e">
        <f>AND(等级属性!L35,"AAAAAHc+9wI=")</f>
        <v>#VALUE!</v>
      </c>
      <c r="D4" t="e">
        <f>AND(等级属性!M35,"AAAAAHc+9wM=")</f>
        <v>#VALUE!</v>
      </c>
      <c r="E4" t="e">
        <f>AND(等级属性!N35,"AAAAAHc+9wQ=")</f>
        <v>#VALUE!</v>
      </c>
      <c r="F4" t="e">
        <f>AND(等级属性!O35,"AAAAAHc+9wU=")</f>
        <v>#VALUE!</v>
      </c>
      <c r="G4" t="e">
        <f>AND(等级属性!P35,"AAAAAHc+9wY=")</f>
        <v>#VALUE!</v>
      </c>
      <c r="H4" t="e">
        <f>AND(等级属性!Q35,"AAAAAHc+9wc=")</f>
        <v>#VALUE!</v>
      </c>
      <c r="I4" t="e">
        <f>AND(等级属性!R35,"AAAAAHc+9wg=")</f>
        <v>#VALUE!</v>
      </c>
      <c r="J4" t="e">
        <f>AND(等级属性!S35,"AAAAAHc+9wk=")</f>
        <v>#VALUE!</v>
      </c>
      <c r="K4" t="str">
        <f>IF(等级属性!36:36,"AAAAAHc+9wo=",0)</f>
        <v>AAAAAHc+9wo=</v>
      </c>
      <c r="L4" t="e">
        <f>AND(等级属性!A36,"AAAAAHc+9ws=")</f>
        <v>#VALUE!</v>
      </c>
      <c r="M4" t="e">
        <f>AND(等级属性!B36,"AAAAAHc+9ww=")</f>
        <v>#VALUE!</v>
      </c>
      <c r="N4" t="e">
        <f>AND(等级属性!C36,"AAAAAHc+9w0=")</f>
        <v>#VALUE!</v>
      </c>
      <c r="O4" t="e">
        <f>AND(等级属性!D36,"AAAAAHc+9w4=")</f>
        <v>#VALUE!</v>
      </c>
      <c r="P4" t="e">
        <f>AND(等级属性!E36,"AAAAAHc+9w8=")</f>
        <v>#VALUE!</v>
      </c>
      <c r="Q4" t="e">
        <f>AND(等级属性!F36,"AAAAAHc+9xA=")</f>
        <v>#VALUE!</v>
      </c>
      <c r="R4" t="e">
        <f>AND(等级属性!G36,"AAAAAHc+9xE=")</f>
        <v>#VALUE!</v>
      </c>
      <c r="S4" t="e">
        <f>AND(等级属性!H36,"AAAAAHc+9xI=")</f>
        <v>#VALUE!</v>
      </c>
      <c r="T4" t="e">
        <f>AND(等级属性!I36,"AAAAAHc+9xM=")</f>
        <v>#VALUE!</v>
      </c>
      <c r="U4" t="e">
        <f>AND(等级属性!J36,"AAAAAHc+9xQ=")</f>
        <v>#VALUE!</v>
      </c>
      <c r="V4" t="e">
        <f>AND(等级属性!K36,"AAAAAHc+9xU=")</f>
        <v>#VALUE!</v>
      </c>
      <c r="W4" t="e">
        <f>AND(等级属性!L36,"AAAAAHc+9xY=")</f>
        <v>#VALUE!</v>
      </c>
      <c r="X4" t="e">
        <f>AND(等级属性!M36,"AAAAAHc+9xc=")</f>
        <v>#VALUE!</v>
      </c>
      <c r="Y4" t="e">
        <f>AND(等级属性!N36,"AAAAAHc+9xg=")</f>
        <v>#VALUE!</v>
      </c>
      <c r="Z4" t="e">
        <f>AND(等级属性!O36,"AAAAAHc+9xk=")</f>
        <v>#VALUE!</v>
      </c>
      <c r="AA4" t="e">
        <f>AND(等级属性!P36,"AAAAAHc+9xo=")</f>
        <v>#VALUE!</v>
      </c>
      <c r="AB4" t="e">
        <f>AND(等级属性!Q36,"AAAAAHc+9xs=")</f>
        <v>#VALUE!</v>
      </c>
      <c r="AC4" t="e">
        <f>AND(等级属性!R36,"AAAAAHc+9xw=")</f>
        <v>#VALUE!</v>
      </c>
      <c r="AD4" t="e">
        <f>AND(等级属性!S36,"AAAAAHc+9x0=")</f>
        <v>#VALUE!</v>
      </c>
      <c r="AE4">
        <f>IF(等级属性!37:37,"AAAAAHc+9x4=",0)</f>
        <v>0</v>
      </c>
      <c r="AF4" t="e">
        <f>AND(等级属性!A37,"AAAAAHc+9x8=")</f>
        <v>#VALUE!</v>
      </c>
      <c r="AG4" t="e">
        <f>AND(等级属性!B37,"AAAAAHc+9yA=")</f>
        <v>#VALUE!</v>
      </c>
      <c r="AH4" t="e">
        <f>AND(等级属性!C37,"AAAAAHc+9yE=")</f>
        <v>#VALUE!</v>
      </c>
      <c r="AI4" t="e">
        <f>AND(等级属性!D37,"AAAAAHc+9yI=")</f>
        <v>#VALUE!</v>
      </c>
      <c r="AJ4" t="e">
        <f>AND(等级属性!E37,"AAAAAHc+9yM=")</f>
        <v>#VALUE!</v>
      </c>
      <c r="AK4" t="e">
        <f>AND(等级属性!F37,"AAAAAHc+9yQ=")</f>
        <v>#VALUE!</v>
      </c>
      <c r="AL4" t="e">
        <f>AND(等级属性!G37,"AAAAAHc+9yU=")</f>
        <v>#VALUE!</v>
      </c>
      <c r="AM4" t="e">
        <f>AND(等级属性!H37,"AAAAAHc+9yY=")</f>
        <v>#VALUE!</v>
      </c>
      <c r="AN4" t="e">
        <f>AND(等级属性!I37,"AAAAAHc+9yc=")</f>
        <v>#VALUE!</v>
      </c>
      <c r="AO4" t="e">
        <f>AND(等级属性!J37,"AAAAAHc+9yg=")</f>
        <v>#VALUE!</v>
      </c>
      <c r="AP4" t="e">
        <f>AND(等级属性!K37,"AAAAAHc+9yk=")</f>
        <v>#VALUE!</v>
      </c>
      <c r="AQ4" t="e">
        <f>AND(等级属性!L37,"AAAAAHc+9yo=")</f>
        <v>#VALUE!</v>
      </c>
      <c r="AR4" t="e">
        <f>AND(等级属性!M37,"AAAAAHc+9ys=")</f>
        <v>#VALUE!</v>
      </c>
      <c r="AS4" t="e">
        <f>AND(等级属性!N37,"AAAAAHc+9yw=")</f>
        <v>#VALUE!</v>
      </c>
      <c r="AT4" t="e">
        <f>AND(等级属性!O37,"AAAAAHc+9y0=")</f>
        <v>#VALUE!</v>
      </c>
      <c r="AU4" t="e">
        <f>AND(等级属性!P37,"AAAAAHc+9y4=")</f>
        <v>#VALUE!</v>
      </c>
      <c r="AV4" t="e">
        <f>AND(等级属性!Q37,"AAAAAHc+9y8=")</f>
        <v>#VALUE!</v>
      </c>
      <c r="AW4" t="e">
        <f>AND(等级属性!R37,"AAAAAHc+9zA=")</f>
        <v>#VALUE!</v>
      </c>
      <c r="AX4" t="e">
        <f>AND(等级属性!S37,"AAAAAHc+9zE=")</f>
        <v>#VALUE!</v>
      </c>
      <c r="AY4">
        <f>IF(等级属性!38:38,"AAAAAHc+9zI=",0)</f>
        <v>0</v>
      </c>
      <c r="AZ4" t="e">
        <f>AND(等级属性!A38,"AAAAAHc+9zM=")</f>
        <v>#VALUE!</v>
      </c>
      <c r="BA4" t="e">
        <f>AND(等级属性!B38,"AAAAAHc+9zQ=")</f>
        <v>#VALUE!</v>
      </c>
      <c r="BB4" t="e">
        <f>AND(等级属性!C38,"AAAAAHc+9zU=")</f>
        <v>#VALUE!</v>
      </c>
      <c r="BC4" t="e">
        <f>AND(等级属性!D38,"AAAAAHc+9zY=")</f>
        <v>#VALUE!</v>
      </c>
      <c r="BD4" t="e">
        <f>AND(等级属性!E38,"AAAAAHc+9zc=")</f>
        <v>#VALUE!</v>
      </c>
      <c r="BE4" t="e">
        <f>AND(等级属性!F38,"AAAAAHc+9zg=")</f>
        <v>#VALUE!</v>
      </c>
      <c r="BF4" t="e">
        <f>AND(等级属性!G38,"AAAAAHc+9zk=")</f>
        <v>#VALUE!</v>
      </c>
      <c r="BG4" t="e">
        <f>AND(等级属性!H38,"AAAAAHc+9zo=")</f>
        <v>#VALUE!</v>
      </c>
      <c r="BH4" t="e">
        <f>AND(等级属性!I38,"AAAAAHc+9zs=")</f>
        <v>#VALUE!</v>
      </c>
      <c r="BI4" t="e">
        <f>AND(等级属性!J38,"AAAAAHc+9zw=")</f>
        <v>#VALUE!</v>
      </c>
      <c r="BJ4" t="e">
        <f>AND(等级属性!K38,"AAAAAHc+9z0=")</f>
        <v>#VALUE!</v>
      </c>
      <c r="BK4" t="e">
        <f>AND(等级属性!L38,"AAAAAHc+9z4=")</f>
        <v>#VALUE!</v>
      </c>
      <c r="BL4" t="e">
        <f>AND(等级属性!M38,"AAAAAHc+9z8=")</f>
        <v>#VALUE!</v>
      </c>
      <c r="BM4" t="e">
        <f>AND(等级属性!N38,"AAAAAHc+90A=")</f>
        <v>#VALUE!</v>
      </c>
      <c r="BN4" t="e">
        <f>AND(等级属性!O38,"AAAAAHc+90E=")</f>
        <v>#VALUE!</v>
      </c>
      <c r="BO4" t="e">
        <f>AND(等级属性!P38,"AAAAAHc+90I=")</f>
        <v>#VALUE!</v>
      </c>
      <c r="BP4" t="e">
        <f>AND(等级属性!Q38,"AAAAAHc+90M=")</f>
        <v>#VALUE!</v>
      </c>
      <c r="BQ4" t="e">
        <f>AND(等级属性!R38,"AAAAAHc+90Q=")</f>
        <v>#VALUE!</v>
      </c>
      <c r="BR4" t="e">
        <f>AND(等级属性!S38,"AAAAAHc+90U=")</f>
        <v>#VALUE!</v>
      </c>
      <c r="BS4">
        <f>IF(等级属性!39:39,"AAAAAHc+90Y=",0)</f>
        <v>0</v>
      </c>
      <c r="BT4" t="e">
        <f>AND(等级属性!A39,"AAAAAHc+90c=")</f>
        <v>#VALUE!</v>
      </c>
      <c r="BU4" t="e">
        <f>AND(等级属性!B39,"AAAAAHc+90g=")</f>
        <v>#VALUE!</v>
      </c>
      <c r="BV4" t="e">
        <f>AND(等级属性!C39,"AAAAAHc+90k=")</f>
        <v>#VALUE!</v>
      </c>
      <c r="BW4" t="e">
        <f>AND(等级属性!D39,"AAAAAHc+90o=")</f>
        <v>#VALUE!</v>
      </c>
      <c r="BX4" t="e">
        <f>AND(等级属性!E39,"AAAAAHc+90s=")</f>
        <v>#VALUE!</v>
      </c>
      <c r="BY4" t="e">
        <f>AND(等级属性!F39,"AAAAAHc+90w=")</f>
        <v>#VALUE!</v>
      </c>
      <c r="BZ4" t="e">
        <f>AND(等级属性!G39,"AAAAAHc+900=")</f>
        <v>#VALUE!</v>
      </c>
      <c r="CA4" t="e">
        <f>AND(等级属性!H39,"AAAAAHc+904=")</f>
        <v>#VALUE!</v>
      </c>
      <c r="CB4" t="e">
        <f>AND(等级属性!I39,"AAAAAHc+908=")</f>
        <v>#VALUE!</v>
      </c>
      <c r="CC4" t="e">
        <f>AND(等级属性!J39,"AAAAAHc+91A=")</f>
        <v>#VALUE!</v>
      </c>
      <c r="CD4" t="e">
        <f>AND(等级属性!K39,"AAAAAHc+91E=")</f>
        <v>#VALUE!</v>
      </c>
      <c r="CE4" t="e">
        <f>AND(等级属性!L39,"AAAAAHc+91I=")</f>
        <v>#VALUE!</v>
      </c>
      <c r="CF4" t="e">
        <f>AND(等级属性!M39,"AAAAAHc+91M=")</f>
        <v>#VALUE!</v>
      </c>
      <c r="CG4" t="e">
        <f>AND(等级属性!N39,"AAAAAHc+91Q=")</f>
        <v>#VALUE!</v>
      </c>
      <c r="CH4" t="e">
        <f>AND(等级属性!O39,"AAAAAHc+91U=")</f>
        <v>#VALUE!</v>
      </c>
      <c r="CI4" t="e">
        <f>AND(等级属性!P39,"AAAAAHc+91Y=")</f>
        <v>#VALUE!</v>
      </c>
      <c r="CJ4" t="e">
        <f>AND(等级属性!Q39,"AAAAAHc+91c=")</f>
        <v>#VALUE!</v>
      </c>
      <c r="CK4" t="e">
        <f>AND(等级属性!R39,"AAAAAHc+91g=")</f>
        <v>#VALUE!</v>
      </c>
      <c r="CL4" t="e">
        <f>AND(等级属性!S39,"AAAAAHc+91k=")</f>
        <v>#VALUE!</v>
      </c>
      <c r="CM4">
        <f>IF(等级属性!40:40,"AAAAAHc+91o=",0)</f>
        <v>0</v>
      </c>
      <c r="CN4" t="e">
        <f>AND(等级属性!A40,"AAAAAHc+91s=")</f>
        <v>#VALUE!</v>
      </c>
      <c r="CO4" t="e">
        <f>AND(等级属性!B40,"AAAAAHc+91w=")</f>
        <v>#VALUE!</v>
      </c>
      <c r="CP4" t="e">
        <f>AND(等级属性!C40,"AAAAAHc+910=")</f>
        <v>#VALUE!</v>
      </c>
      <c r="CQ4" t="e">
        <f>AND(等级属性!D40,"AAAAAHc+914=")</f>
        <v>#VALUE!</v>
      </c>
      <c r="CR4" t="e">
        <f>AND(等级属性!E40,"AAAAAHc+918=")</f>
        <v>#VALUE!</v>
      </c>
      <c r="CS4" t="e">
        <f>AND(等级属性!F40,"AAAAAHc+92A=")</f>
        <v>#VALUE!</v>
      </c>
      <c r="CT4" t="e">
        <f>AND(等级属性!G40,"AAAAAHc+92E=")</f>
        <v>#VALUE!</v>
      </c>
      <c r="CU4" t="e">
        <f>AND(等级属性!H40,"AAAAAHc+92I=")</f>
        <v>#VALUE!</v>
      </c>
      <c r="CV4" t="e">
        <f>AND(等级属性!I40,"AAAAAHc+92M=")</f>
        <v>#VALUE!</v>
      </c>
      <c r="CW4" t="e">
        <f>AND(等级属性!J40,"AAAAAHc+92Q=")</f>
        <v>#VALUE!</v>
      </c>
      <c r="CX4" t="e">
        <f>AND(等级属性!K40,"AAAAAHc+92U=")</f>
        <v>#VALUE!</v>
      </c>
      <c r="CY4" t="e">
        <f>AND(等级属性!L40,"AAAAAHc+92Y=")</f>
        <v>#VALUE!</v>
      </c>
      <c r="CZ4" t="e">
        <f>AND(等级属性!M40,"AAAAAHc+92c=")</f>
        <v>#VALUE!</v>
      </c>
      <c r="DA4" t="e">
        <f>AND(等级属性!N40,"AAAAAHc+92g=")</f>
        <v>#VALUE!</v>
      </c>
      <c r="DB4" t="e">
        <f>AND(等级属性!O40,"AAAAAHc+92k=")</f>
        <v>#VALUE!</v>
      </c>
      <c r="DC4" t="e">
        <f>AND(等级属性!P40,"AAAAAHc+92o=")</f>
        <v>#VALUE!</v>
      </c>
      <c r="DD4" t="e">
        <f>AND(等级属性!Q40,"AAAAAHc+92s=")</f>
        <v>#VALUE!</v>
      </c>
      <c r="DE4" t="e">
        <f>AND(等级属性!R40,"AAAAAHc+92w=")</f>
        <v>#VALUE!</v>
      </c>
      <c r="DF4" t="e">
        <f>AND(等级属性!S40,"AAAAAHc+920=")</f>
        <v>#VALUE!</v>
      </c>
      <c r="DG4">
        <f>IF(等级属性!41:41,"AAAAAHc+924=",0)</f>
        <v>0</v>
      </c>
      <c r="DH4" t="e">
        <f>AND(等级属性!A41,"AAAAAHc+928=")</f>
        <v>#VALUE!</v>
      </c>
      <c r="DI4" t="e">
        <f>AND(等级属性!B41,"AAAAAHc+93A=")</f>
        <v>#VALUE!</v>
      </c>
      <c r="DJ4" t="e">
        <f>AND(等级属性!C41,"AAAAAHc+93E=")</f>
        <v>#VALUE!</v>
      </c>
      <c r="DK4" t="e">
        <f>AND(等级属性!D41,"AAAAAHc+93I=")</f>
        <v>#VALUE!</v>
      </c>
      <c r="DL4" t="e">
        <f>AND(等级属性!E41,"AAAAAHc+93M=")</f>
        <v>#VALUE!</v>
      </c>
      <c r="DM4" t="e">
        <f>AND(等级属性!F41,"AAAAAHc+93Q=")</f>
        <v>#VALUE!</v>
      </c>
      <c r="DN4" t="e">
        <f>AND(等级属性!G41,"AAAAAHc+93U=")</f>
        <v>#VALUE!</v>
      </c>
      <c r="DO4" t="e">
        <f>AND(等级属性!H41,"AAAAAHc+93Y=")</f>
        <v>#VALUE!</v>
      </c>
      <c r="DP4" t="e">
        <f>AND(等级属性!I41,"AAAAAHc+93c=")</f>
        <v>#VALUE!</v>
      </c>
      <c r="DQ4" t="e">
        <f>AND(等级属性!J41,"AAAAAHc+93g=")</f>
        <v>#VALUE!</v>
      </c>
      <c r="DR4" t="e">
        <f>AND(等级属性!K41,"AAAAAHc+93k=")</f>
        <v>#VALUE!</v>
      </c>
      <c r="DS4" t="e">
        <f>AND(等级属性!L41,"AAAAAHc+93o=")</f>
        <v>#VALUE!</v>
      </c>
      <c r="DT4" t="e">
        <f>AND(等级属性!M41,"AAAAAHc+93s=")</f>
        <v>#VALUE!</v>
      </c>
      <c r="DU4" t="e">
        <f>AND(等级属性!N41,"AAAAAHc+93w=")</f>
        <v>#VALUE!</v>
      </c>
      <c r="DV4" t="e">
        <f>AND(等级属性!O41,"AAAAAHc+930=")</f>
        <v>#VALUE!</v>
      </c>
      <c r="DW4" t="e">
        <f>AND(等级属性!P41,"AAAAAHc+934=")</f>
        <v>#VALUE!</v>
      </c>
      <c r="DX4" t="e">
        <f>AND(等级属性!Q41,"AAAAAHc+938=")</f>
        <v>#VALUE!</v>
      </c>
      <c r="DY4" t="e">
        <f>AND(等级属性!R41,"AAAAAHc+94A=")</f>
        <v>#VALUE!</v>
      </c>
      <c r="DZ4" t="e">
        <f>AND(等级属性!S41,"AAAAAHc+94E=")</f>
        <v>#VALUE!</v>
      </c>
      <c r="EA4">
        <f>IF(等级属性!42:42,"AAAAAHc+94I=",0)</f>
        <v>0</v>
      </c>
      <c r="EB4" t="e">
        <f>AND(等级属性!A42,"AAAAAHc+94M=")</f>
        <v>#VALUE!</v>
      </c>
      <c r="EC4" t="e">
        <f>AND(等级属性!B42,"AAAAAHc+94Q=")</f>
        <v>#VALUE!</v>
      </c>
      <c r="ED4" t="e">
        <f>AND(等级属性!C42,"AAAAAHc+94U=")</f>
        <v>#VALUE!</v>
      </c>
      <c r="EE4" t="e">
        <f>AND(等级属性!D42,"AAAAAHc+94Y=")</f>
        <v>#VALUE!</v>
      </c>
      <c r="EF4" t="e">
        <f>AND(等级属性!E42,"AAAAAHc+94c=")</f>
        <v>#VALUE!</v>
      </c>
      <c r="EG4" t="e">
        <f>AND(等级属性!F42,"AAAAAHc+94g=")</f>
        <v>#VALUE!</v>
      </c>
      <c r="EH4" t="e">
        <f>AND(等级属性!G42,"AAAAAHc+94k=")</f>
        <v>#VALUE!</v>
      </c>
      <c r="EI4" t="e">
        <f>AND(等级属性!H42,"AAAAAHc+94o=")</f>
        <v>#VALUE!</v>
      </c>
      <c r="EJ4" t="e">
        <f>AND(等级属性!I42,"AAAAAHc+94s=")</f>
        <v>#VALUE!</v>
      </c>
      <c r="EK4" t="e">
        <f>AND(等级属性!J42,"AAAAAHc+94w=")</f>
        <v>#VALUE!</v>
      </c>
      <c r="EL4" t="e">
        <f>AND(等级属性!K42,"AAAAAHc+940=")</f>
        <v>#VALUE!</v>
      </c>
      <c r="EM4" t="e">
        <f>AND(等级属性!L42,"AAAAAHc+944=")</f>
        <v>#VALUE!</v>
      </c>
      <c r="EN4" t="e">
        <f>AND(等级属性!M42,"AAAAAHc+948=")</f>
        <v>#VALUE!</v>
      </c>
      <c r="EO4" t="e">
        <f>AND(等级属性!N42,"AAAAAHc+95A=")</f>
        <v>#VALUE!</v>
      </c>
      <c r="EP4" t="e">
        <f>AND(等级属性!O42,"AAAAAHc+95E=")</f>
        <v>#VALUE!</v>
      </c>
      <c r="EQ4" t="e">
        <f>AND(等级属性!P42,"AAAAAHc+95I=")</f>
        <v>#VALUE!</v>
      </c>
      <c r="ER4" t="e">
        <f>AND(等级属性!Q42,"AAAAAHc+95M=")</f>
        <v>#VALUE!</v>
      </c>
      <c r="ES4" t="e">
        <f>AND(等级属性!R42,"AAAAAHc+95Q=")</f>
        <v>#VALUE!</v>
      </c>
      <c r="ET4" t="e">
        <f>AND(等级属性!S42,"AAAAAHc+95U=")</f>
        <v>#VALUE!</v>
      </c>
      <c r="EU4">
        <f>IF(等级属性!43:43,"AAAAAHc+95Y=",0)</f>
        <v>0</v>
      </c>
      <c r="EV4" t="e">
        <f>AND(等级属性!A43,"AAAAAHc+95c=")</f>
        <v>#VALUE!</v>
      </c>
      <c r="EW4" t="e">
        <f>AND(等级属性!B43,"AAAAAHc+95g=")</f>
        <v>#VALUE!</v>
      </c>
      <c r="EX4" t="e">
        <f>AND(等级属性!C43,"AAAAAHc+95k=")</f>
        <v>#VALUE!</v>
      </c>
      <c r="EY4" t="e">
        <f>AND(等级属性!D43,"AAAAAHc+95o=")</f>
        <v>#VALUE!</v>
      </c>
      <c r="EZ4" t="e">
        <f>AND(等级属性!E43,"AAAAAHc+95s=")</f>
        <v>#VALUE!</v>
      </c>
      <c r="FA4" t="e">
        <f>AND(等级属性!F43,"AAAAAHc+95w=")</f>
        <v>#VALUE!</v>
      </c>
      <c r="FB4" t="e">
        <f>AND(等级属性!G43,"AAAAAHc+950=")</f>
        <v>#VALUE!</v>
      </c>
      <c r="FC4" t="e">
        <f>AND(等级属性!H43,"AAAAAHc+954=")</f>
        <v>#VALUE!</v>
      </c>
      <c r="FD4" t="e">
        <f>AND(等级属性!I43,"AAAAAHc+958=")</f>
        <v>#VALUE!</v>
      </c>
      <c r="FE4" t="e">
        <f>AND(等级属性!J43,"AAAAAHc+96A=")</f>
        <v>#VALUE!</v>
      </c>
      <c r="FF4" t="e">
        <f>AND(等级属性!K43,"AAAAAHc+96E=")</f>
        <v>#VALUE!</v>
      </c>
      <c r="FG4" t="e">
        <f>AND(等级属性!L43,"AAAAAHc+96I=")</f>
        <v>#VALUE!</v>
      </c>
      <c r="FH4" t="e">
        <f>AND(等级属性!M43,"AAAAAHc+96M=")</f>
        <v>#VALUE!</v>
      </c>
      <c r="FI4" t="e">
        <f>AND(等级属性!N43,"AAAAAHc+96Q=")</f>
        <v>#VALUE!</v>
      </c>
      <c r="FJ4" t="e">
        <f>AND(等级属性!O43,"AAAAAHc+96U=")</f>
        <v>#VALUE!</v>
      </c>
      <c r="FK4" t="e">
        <f>AND(等级属性!P43,"AAAAAHc+96Y=")</f>
        <v>#VALUE!</v>
      </c>
      <c r="FL4" t="e">
        <f>AND(等级属性!Q43,"AAAAAHc+96c=")</f>
        <v>#VALUE!</v>
      </c>
      <c r="FM4" t="e">
        <f>AND(等级属性!R43,"AAAAAHc+96g=")</f>
        <v>#VALUE!</v>
      </c>
      <c r="FN4" t="e">
        <f>AND(等级属性!S43,"AAAAAHc+96k=")</f>
        <v>#VALUE!</v>
      </c>
      <c r="FO4">
        <f>IF(等级属性!44:44,"AAAAAHc+96o=",0)</f>
        <v>0</v>
      </c>
      <c r="FP4" t="e">
        <f>AND(等级属性!A44,"AAAAAHc+96s=")</f>
        <v>#VALUE!</v>
      </c>
      <c r="FQ4" t="e">
        <f>AND(等级属性!B44,"AAAAAHc+96w=")</f>
        <v>#VALUE!</v>
      </c>
      <c r="FR4" t="e">
        <f>AND(等级属性!C44,"AAAAAHc+960=")</f>
        <v>#VALUE!</v>
      </c>
      <c r="FS4" t="e">
        <f>AND(等级属性!D44,"AAAAAHc+964=")</f>
        <v>#VALUE!</v>
      </c>
      <c r="FT4" t="e">
        <f>AND(等级属性!E44,"AAAAAHc+968=")</f>
        <v>#VALUE!</v>
      </c>
      <c r="FU4" t="e">
        <f>AND(等级属性!F44,"AAAAAHc+97A=")</f>
        <v>#VALUE!</v>
      </c>
      <c r="FV4" t="e">
        <f>AND(等级属性!G44,"AAAAAHc+97E=")</f>
        <v>#VALUE!</v>
      </c>
      <c r="FW4" t="e">
        <f>AND(等级属性!H44,"AAAAAHc+97I=")</f>
        <v>#VALUE!</v>
      </c>
      <c r="FX4" t="e">
        <f>AND(等级属性!I44,"AAAAAHc+97M=")</f>
        <v>#VALUE!</v>
      </c>
      <c r="FY4" t="e">
        <f>AND(等级属性!J44,"AAAAAHc+97Q=")</f>
        <v>#VALUE!</v>
      </c>
      <c r="FZ4" t="e">
        <f>AND(等级属性!K44,"AAAAAHc+97U=")</f>
        <v>#VALUE!</v>
      </c>
      <c r="GA4" t="e">
        <f>AND(等级属性!L44,"AAAAAHc+97Y=")</f>
        <v>#VALUE!</v>
      </c>
      <c r="GB4" t="e">
        <f>AND(等级属性!M44,"AAAAAHc+97c=")</f>
        <v>#VALUE!</v>
      </c>
      <c r="GC4" t="e">
        <f>AND(等级属性!N44,"AAAAAHc+97g=")</f>
        <v>#VALUE!</v>
      </c>
      <c r="GD4" t="e">
        <f>AND(等级属性!O44,"AAAAAHc+97k=")</f>
        <v>#VALUE!</v>
      </c>
      <c r="GE4" t="e">
        <f>AND(等级属性!P44,"AAAAAHc+97o=")</f>
        <v>#VALUE!</v>
      </c>
      <c r="GF4" t="e">
        <f>AND(等级属性!Q44,"AAAAAHc+97s=")</f>
        <v>#VALUE!</v>
      </c>
      <c r="GG4" t="e">
        <f>AND(等级属性!R44,"AAAAAHc+97w=")</f>
        <v>#VALUE!</v>
      </c>
      <c r="GH4" t="e">
        <f>AND(等级属性!S44,"AAAAAHc+970=")</f>
        <v>#VALUE!</v>
      </c>
      <c r="GI4">
        <f>IF(等级属性!45:45,"AAAAAHc+974=",0)</f>
        <v>0</v>
      </c>
      <c r="GJ4" t="e">
        <f>AND(等级属性!A45,"AAAAAHc+978=")</f>
        <v>#VALUE!</v>
      </c>
      <c r="GK4" t="e">
        <f>AND(等级属性!B45,"AAAAAHc+98A=")</f>
        <v>#VALUE!</v>
      </c>
      <c r="GL4" t="e">
        <f>AND(等级属性!C45,"AAAAAHc+98E=")</f>
        <v>#VALUE!</v>
      </c>
      <c r="GM4" t="e">
        <f>AND(等级属性!D45,"AAAAAHc+98I=")</f>
        <v>#VALUE!</v>
      </c>
      <c r="GN4" t="e">
        <f>AND(等级属性!E45,"AAAAAHc+98M=")</f>
        <v>#VALUE!</v>
      </c>
      <c r="GO4" t="e">
        <f>AND(等级属性!F45,"AAAAAHc+98Q=")</f>
        <v>#VALUE!</v>
      </c>
      <c r="GP4" t="e">
        <f>AND(等级属性!G45,"AAAAAHc+98U=")</f>
        <v>#VALUE!</v>
      </c>
      <c r="GQ4" t="e">
        <f>AND(等级属性!H45,"AAAAAHc+98Y=")</f>
        <v>#VALUE!</v>
      </c>
      <c r="GR4" t="e">
        <f>AND(等级属性!I45,"AAAAAHc+98c=")</f>
        <v>#VALUE!</v>
      </c>
      <c r="GS4" t="e">
        <f>AND(等级属性!J45,"AAAAAHc+98g=")</f>
        <v>#VALUE!</v>
      </c>
      <c r="GT4" t="e">
        <f>AND(等级属性!K45,"AAAAAHc+98k=")</f>
        <v>#VALUE!</v>
      </c>
      <c r="GU4" t="e">
        <f>AND(等级属性!L45,"AAAAAHc+98o=")</f>
        <v>#VALUE!</v>
      </c>
      <c r="GV4" t="e">
        <f>AND(等级属性!M45,"AAAAAHc+98s=")</f>
        <v>#VALUE!</v>
      </c>
      <c r="GW4" t="e">
        <f>AND(等级属性!N45,"AAAAAHc+98w=")</f>
        <v>#VALUE!</v>
      </c>
      <c r="GX4" t="e">
        <f>AND(等级属性!O45,"AAAAAHc+980=")</f>
        <v>#VALUE!</v>
      </c>
      <c r="GY4" t="e">
        <f>AND(等级属性!P45,"AAAAAHc+984=")</f>
        <v>#VALUE!</v>
      </c>
      <c r="GZ4" t="e">
        <f>AND(等级属性!Q45,"AAAAAHc+988=")</f>
        <v>#VALUE!</v>
      </c>
      <c r="HA4" t="e">
        <f>AND(等级属性!R45,"AAAAAHc+99A=")</f>
        <v>#VALUE!</v>
      </c>
      <c r="HB4" t="e">
        <f>AND(等级属性!S45,"AAAAAHc+99E=")</f>
        <v>#VALUE!</v>
      </c>
      <c r="HC4">
        <f>IF(等级属性!46:46,"AAAAAHc+99I=",0)</f>
        <v>0</v>
      </c>
      <c r="HD4" t="e">
        <f>AND(等级属性!A46,"AAAAAHc+99M=")</f>
        <v>#VALUE!</v>
      </c>
      <c r="HE4" t="e">
        <f>AND(等级属性!B46,"AAAAAHc+99Q=")</f>
        <v>#VALUE!</v>
      </c>
      <c r="HF4" t="e">
        <f>AND(等级属性!C46,"AAAAAHc+99U=")</f>
        <v>#VALUE!</v>
      </c>
      <c r="HG4" t="e">
        <f>AND(等级属性!D46,"AAAAAHc+99Y=")</f>
        <v>#VALUE!</v>
      </c>
      <c r="HH4" t="e">
        <f>AND(等级属性!E46,"AAAAAHc+99c=")</f>
        <v>#VALUE!</v>
      </c>
      <c r="HI4" t="e">
        <f>AND(等级属性!F46,"AAAAAHc+99g=")</f>
        <v>#VALUE!</v>
      </c>
      <c r="HJ4" t="e">
        <f>AND(等级属性!G46,"AAAAAHc+99k=")</f>
        <v>#VALUE!</v>
      </c>
      <c r="HK4" t="e">
        <f>AND(等级属性!H46,"AAAAAHc+99o=")</f>
        <v>#VALUE!</v>
      </c>
      <c r="HL4" t="e">
        <f>AND(等级属性!I46,"AAAAAHc+99s=")</f>
        <v>#VALUE!</v>
      </c>
      <c r="HM4" t="e">
        <f>AND(等级属性!J46,"AAAAAHc+99w=")</f>
        <v>#VALUE!</v>
      </c>
      <c r="HN4" t="e">
        <f>AND(等级属性!K46,"AAAAAHc+990=")</f>
        <v>#VALUE!</v>
      </c>
      <c r="HO4" t="e">
        <f>AND(等级属性!L46,"AAAAAHc+994=")</f>
        <v>#VALUE!</v>
      </c>
      <c r="HP4" t="e">
        <f>AND(等级属性!M46,"AAAAAHc+998=")</f>
        <v>#VALUE!</v>
      </c>
      <c r="HQ4" t="e">
        <f>AND(等级属性!N46,"AAAAAHc+9+A=")</f>
        <v>#VALUE!</v>
      </c>
      <c r="HR4" t="e">
        <f>AND(等级属性!O46,"AAAAAHc+9+E=")</f>
        <v>#VALUE!</v>
      </c>
      <c r="HS4" t="e">
        <f>AND(等级属性!P46,"AAAAAHc+9+I=")</f>
        <v>#VALUE!</v>
      </c>
      <c r="HT4" t="e">
        <f>AND(等级属性!Q46,"AAAAAHc+9+M=")</f>
        <v>#VALUE!</v>
      </c>
      <c r="HU4" t="e">
        <f>AND(等级属性!R46,"AAAAAHc+9+Q=")</f>
        <v>#VALUE!</v>
      </c>
      <c r="HV4" t="e">
        <f>AND(等级属性!S46,"AAAAAHc+9+U=")</f>
        <v>#VALUE!</v>
      </c>
      <c r="HW4">
        <f>IF(等级属性!47:47,"AAAAAHc+9+Y=",0)</f>
        <v>0</v>
      </c>
      <c r="HX4" t="e">
        <f>AND(等级属性!A47,"AAAAAHc+9+c=")</f>
        <v>#VALUE!</v>
      </c>
      <c r="HY4" t="e">
        <f>AND(等级属性!B47,"AAAAAHc+9+g=")</f>
        <v>#VALUE!</v>
      </c>
      <c r="HZ4" t="e">
        <f>AND(等级属性!C47,"AAAAAHc+9+k=")</f>
        <v>#VALUE!</v>
      </c>
      <c r="IA4" t="e">
        <f>AND(等级属性!D47,"AAAAAHc+9+o=")</f>
        <v>#VALUE!</v>
      </c>
      <c r="IB4" t="e">
        <f>AND(等级属性!E47,"AAAAAHc+9+s=")</f>
        <v>#VALUE!</v>
      </c>
      <c r="IC4" t="e">
        <f>AND(等级属性!F47,"AAAAAHc+9+w=")</f>
        <v>#VALUE!</v>
      </c>
      <c r="ID4" t="e">
        <f>AND(等级属性!G47,"AAAAAHc+9+0=")</f>
        <v>#VALUE!</v>
      </c>
      <c r="IE4" t="e">
        <f>AND(等级属性!H47,"AAAAAHc+9+4=")</f>
        <v>#VALUE!</v>
      </c>
      <c r="IF4" t="e">
        <f>AND(等级属性!I47,"AAAAAHc+9+8=")</f>
        <v>#VALUE!</v>
      </c>
      <c r="IG4" t="e">
        <f>AND(等级属性!J47,"AAAAAHc+9/A=")</f>
        <v>#VALUE!</v>
      </c>
      <c r="IH4" t="e">
        <f>AND(等级属性!K47,"AAAAAHc+9/E=")</f>
        <v>#VALUE!</v>
      </c>
      <c r="II4" t="e">
        <f>AND(等级属性!L47,"AAAAAHc+9/I=")</f>
        <v>#VALUE!</v>
      </c>
      <c r="IJ4" t="e">
        <f>AND(等级属性!M47,"AAAAAHc+9/M=")</f>
        <v>#VALUE!</v>
      </c>
      <c r="IK4" t="e">
        <f>AND(等级属性!N47,"AAAAAHc+9/Q=")</f>
        <v>#VALUE!</v>
      </c>
      <c r="IL4" t="e">
        <f>AND(等级属性!O47,"AAAAAHc+9/U=")</f>
        <v>#VALUE!</v>
      </c>
      <c r="IM4" t="e">
        <f>AND(等级属性!P47,"AAAAAHc+9/Y=")</f>
        <v>#VALUE!</v>
      </c>
      <c r="IN4" t="e">
        <f>AND(等级属性!Q47,"AAAAAHc+9/c=")</f>
        <v>#VALUE!</v>
      </c>
      <c r="IO4" t="e">
        <f>AND(等级属性!R47,"AAAAAHc+9/g=")</f>
        <v>#VALUE!</v>
      </c>
      <c r="IP4" t="e">
        <f>AND(等级属性!S47,"AAAAAHc+9/k=")</f>
        <v>#VALUE!</v>
      </c>
      <c r="IQ4" t="e">
        <f>IF(等级属性!A:A,"AAAAAHc+9/o=",0)</f>
        <v>#VALUE!</v>
      </c>
      <c r="IR4" t="e">
        <f>IF(等级属性!B:B,"AAAAAHc+9/s=",0)</f>
        <v>#VALUE!</v>
      </c>
      <c r="IS4" t="str">
        <f>IF(等级属性!C:C,"AAAAAHc+9/w=",0)</f>
        <v>AAAAAHc+9/w=</v>
      </c>
      <c r="IT4" t="str">
        <f>IF(等级属性!D:D,"AAAAAHc+9/0=",0)</f>
        <v>AAAAAHc+9/0=</v>
      </c>
      <c r="IU4" t="str">
        <f>IF(等级属性!E:E,"AAAAAHc+9/4=",0)</f>
        <v>AAAAAHc+9/4=</v>
      </c>
      <c r="IV4" t="str">
        <f>IF(等级属性!F:F,"AAAAAHc+9/8=",0)</f>
        <v>AAAAAHc+9/8=</v>
      </c>
    </row>
    <row r="5" spans="1:256">
      <c r="A5" t="str">
        <f>IF(等级属性!G:G,"AAAAAFc/+QA=",0)</f>
        <v>AAAAAFc/+QA=</v>
      </c>
      <c r="B5" t="str">
        <f>IF(等级属性!H:H,"AAAAAFc/+QE=",0)</f>
        <v>AAAAAFc/+QE=</v>
      </c>
      <c r="C5" t="str">
        <f>IF(等级属性!I:I,"AAAAAFc/+QI=",0)</f>
        <v>AAAAAFc/+QI=</v>
      </c>
      <c r="D5" t="str">
        <f>IF(等级属性!J:J,"AAAAAFc/+QM=",0)</f>
        <v>AAAAAFc/+QM=</v>
      </c>
      <c r="E5" t="str">
        <f>IF(等级属性!K:K,"AAAAAFc/+QQ=",0)</f>
        <v>AAAAAFc/+QQ=</v>
      </c>
      <c r="F5">
        <f>IF(等级属性!L:L,"AAAAAFc/+QU=",0)</f>
        <v>0</v>
      </c>
      <c r="G5" t="str">
        <f>IF(等级属性!M:M,"AAAAAFc/+QY=",0)</f>
        <v>AAAAAFc/+QY=</v>
      </c>
      <c r="H5" t="str">
        <f>IF(等级属性!N:N,"AAAAAFc/+Qc=",0)</f>
        <v>AAAAAFc/+Qc=</v>
      </c>
      <c r="I5" t="str">
        <f>IF(等级属性!O:O,"AAAAAFc/+Qg=",0)</f>
        <v>AAAAAFc/+Qg=</v>
      </c>
      <c r="J5" t="str">
        <f>IF(等级属性!P:P,"AAAAAFc/+Qk=",0)</f>
        <v>AAAAAFc/+Qk=</v>
      </c>
      <c r="K5">
        <f>IF(等级属性!Q:Q,"AAAAAFc/+Qo=",0)</f>
        <v>0</v>
      </c>
      <c r="L5" t="e">
        <f>IF(等级属性!R:R,"AAAAAFc/+Qs=",0)</f>
        <v>#VALUE!</v>
      </c>
      <c r="M5" t="e">
        <f>IF(等级属性!S:S,"AAAAAFc/+Qw=",0)</f>
        <v>#VALUE!</v>
      </c>
      <c r="N5">
        <f>IF(等级属性!T:T,"AAAAAFc/+Q0=",0)</f>
        <v>0</v>
      </c>
      <c r="O5">
        <f>IF(等级属性!U:U,"AAAAAFc/+Q4=",0)</f>
        <v>0</v>
      </c>
      <c r="P5">
        <f>IF(等级属性!V:V,"AAAAAFc/+Q8=",0)</f>
        <v>0</v>
      </c>
      <c r="Q5">
        <f>IF(等级属性!W:W,"AAAAAFc/+RA=",0)</f>
        <v>0</v>
      </c>
      <c r="R5">
        <f>IF(我方士兵!1:1,"AAAAAFc/+RE=",0)</f>
        <v>0</v>
      </c>
      <c r="S5" t="e">
        <f>AND(我方士兵!A1,"AAAAAFc/+RI=")</f>
        <v>#VALUE!</v>
      </c>
      <c r="T5" t="e">
        <f>AND(我方士兵!B1,"AAAAAFc/+RM=")</f>
        <v>#VALUE!</v>
      </c>
      <c r="U5" t="e">
        <f>AND(我方士兵!C1,"AAAAAFc/+RQ=")</f>
        <v>#VALUE!</v>
      </c>
      <c r="V5" t="e">
        <f>AND(我方士兵!D1,"AAAAAFc/+RU=")</f>
        <v>#VALUE!</v>
      </c>
      <c r="W5" t="e">
        <f>AND(我方士兵!E1,"AAAAAFc/+RY=")</f>
        <v>#VALUE!</v>
      </c>
      <c r="X5" t="e">
        <f>AND(我方士兵!F1,"AAAAAFc/+Rc=")</f>
        <v>#VALUE!</v>
      </c>
      <c r="Y5" t="e">
        <f>AND(我方士兵!G1,"AAAAAFc/+Rg=")</f>
        <v>#VALUE!</v>
      </c>
      <c r="Z5" t="e">
        <f>AND(我方士兵!H1,"AAAAAFc/+Rk=")</f>
        <v>#VALUE!</v>
      </c>
      <c r="AA5" t="e">
        <f>AND(我方士兵!I1,"AAAAAFc/+Ro=")</f>
        <v>#VALUE!</v>
      </c>
      <c r="AB5" t="e">
        <f>AND(我方士兵!J1,"AAAAAFc/+Rs=")</f>
        <v>#VALUE!</v>
      </c>
      <c r="AC5" t="e">
        <f>AND(我方士兵!K1,"AAAAAFc/+Rw=")</f>
        <v>#VALUE!</v>
      </c>
      <c r="AD5" t="e">
        <f>AND(我方士兵!L1,"AAAAAFc/+R0=")</f>
        <v>#VALUE!</v>
      </c>
      <c r="AE5" t="e">
        <f>AND(我方士兵!M1,"AAAAAFc/+R4=")</f>
        <v>#VALUE!</v>
      </c>
      <c r="AF5" t="e">
        <f>AND(我方士兵!N1,"AAAAAFc/+R8=")</f>
        <v>#VALUE!</v>
      </c>
      <c r="AG5">
        <f>IF(我方士兵!2:2,"AAAAAFc/+SA=",0)</f>
        <v>0</v>
      </c>
      <c r="AH5" t="e">
        <f>AND(我方士兵!A2,"AAAAAFc/+SE=")</f>
        <v>#VALUE!</v>
      </c>
      <c r="AI5" t="e">
        <f>AND(我方士兵!B2,"AAAAAFc/+SI=")</f>
        <v>#VALUE!</v>
      </c>
      <c r="AJ5" t="e">
        <f>AND(我方士兵!C2,"AAAAAFc/+SM=")</f>
        <v>#VALUE!</v>
      </c>
      <c r="AK5" t="e">
        <f>AND(我方士兵!D2,"AAAAAFc/+SQ=")</f>
        <v>#VALUE!</v>
      </c>
      <c r="AL5" t="e">
        <f>AND(我方士兵!E2,"AAAAAFc/+SU=")</f>
        <v>#VALUE!</v>
      </c>
      <c r="AM5" t="e">
        <f>AND(我方士兵!F2,"AAAAAFc/+SY=")</f>
        <v>#VALUE!</v>
      </c>
      <c r="AN5" t="e">
        <f>AND(我方士兵!G2,"AAAAAFc/+Sc=")</f>
        <v>#VALUE!</v>
      </c>
      <c r="AO5" t="e">
        <f>AND(我方士兵!H2,"AAAAAFc/+Sg=")</f>
        <v>#VALUE!</v>
      </c>
      <c r="AP5" t="e">
        <f>AND(我方士兵!I2,"AAAAAFc/+Sk=")</f>
        <v>#VALUE!</v>
      </c>
      <c r="AQ5" t="e">
        <f>AND(我方士兵!J2,"AAAAAFc/+So=")</f>
        <v>#VALUE!</v>
      </c>
      <c r="AR5" t="e">
        <f>AND(我方士兵!K2,"AAAAAFc/+Ss=")</f>
        <v>#VALUE!</v>
      </c>
      <c r="AS5" t="e">
        <f>AND(我方士兵!L2,"AAAAAFc/+Sw=")</f>
        <v>#VALUE!</v>
      </c>
      <c r="AT5">
        <f>IF(我方士兵!A:A,"AAAAAFc/+S0=",0)</f>
        <v>0</v>
      </c>
      <c r="AU5">
        <f>IF(我方士兵!B:B,"AAAAAFc/+S4=",0)</f>
        <v>0</v>
      </c>
      <c r="AV5">
        <f>IF(我方士兵!C:C,"AAAAAFc/+S8=",0)</f>
        <v>0</v>
      </c>
      <c r="AW5">
        <f>IF(我方士兵!D:D,"AAAAAFc/+TA=",0)</f>
        <v>0</v>
      </c>
      <c r="AX5">
        <f>IF(我方士兵!E:E,"AAAAAFc/+TE=",0)</f>
        <v>0</v>
      </c>
      <c r="AY5">
        <f>IF(我方士兵!F:F,"AAAAAFc/+TI=",0)</f>
        <v>0</v>
      </c>
      <c r="AZ5">
        <f>IF(我方士兵!G:G,"AAAAAFc/+TM=",0)</f>
        <v>0</v>
      </c>
      <c r="BA5">
        <f>IF(我方士兵!H:H,"AAAAAFc/+TQ=",0)</f>
        <v>0</v>
      </c>
      <c r="BB5">
        <f>IF(我方士兵!I:I,"AAAAAFc/+TU=",0)</f>
        <v>0</v>
      </c>
      <c r="BC5">
        <f>IF(我方士兵!J:J,"AAAAAFc/+TY=",0)</f>
        <v>0</v>
      </c>
      <c r="BD5">
        <f>IF(我方士兵!K:K,"AAAAAFc/+Tc=",0)</f>
        <v>0</v>
      </c>
      <c r="BE5">
        <f>IF(我方士兵!L:L,"AAAAAFc/+Tg=",0)</f>
        <v>0</v>
      </c>
      <c r="BF5">
        <f>IF(我方士兵!M:M,"AAAAAFc/+Tk=",0)</f>
        <v>0</v>
      </c>
      <c r="BG5">
        <f>IF(我方士兵!N:N,"AAAAAFc/+To=",0)</f>
        <v>0</v>
      </c>
      <c r="BH5">
        <f>IF(技能表!1:1,"AAAAAFc/+Ts=",0)</f>
        <v>0</v>
      </c>
      <c r="BI5" t="e">
        <f>AND(技能表!A1,"AAAAAFc/+Tw=")</f>
        <v>#VALUE!</v>
      </c>
      <c r="BJ5" t="e">
        <f>AND(技能表!B1,"AAAAAFc/+T0=")</f>
        <v>#VALUE!</v>
      </c>
      <c r="BK5" t="e">
        <f>AND(技能表!C1,"AAAAAFc/+T4=")</f>
        <v>#VALUE!</v>
      </c>
      <c r="BL5" t="e">
        <f>AND(技能表!D1,"AAAAAFc/+T8=")</f>
        <v>#VALUE!</v>
      </c>
      <c r="BM5" t="e">
        <f>AND(技能表!E1,"AAAAAFc/+UA=")</f>
        <v>#VALUE!</v>
      </c>
      <c r="BN5" t="e">
        <f>AND(技能表!F1,"AAAAAFc/+UE=")</f>
        <v>#VALUE!</v>
      </c>
      <c r="BO5" t="e">
        <f>AND(技能表!G1,"AAAAAFc/+UI=")</f>
        <v>#VALUE!</v>
      </c>
      <c r="BP5" t="e">
        <f>AND(技能表!H1,"AAAAAFc/+UM=")</f>
        <v>#VALUE!</v>
      </c>
      <c r="BQ5" t="e">
        <f>AND(技能表!I1,"AAAAAFc/+UQ=")</f>
        <v>#VALUE!</v>
      </c>
      <c r="BR5" t="e">
        <f>AND(技能表!J1,"AAAAAFc/+UU=")</f>
        <v>#VALUE!</v>
      </c>
      <c r="BS5" t="e">
        <f>AND(技能表!K1,"AAAAAFc/+UY=")</f>
        <v>#VALUE!</v>
      </c>
      <c r="BT5" t="e">
        <f>AND(技能表!L1,"AAAAAFc/+Uc=")</f>
        <v>#VALUE!</v>
      </c>
      <c r="BU5" t="e">
        <f>AND(技能表!M1,"AAAAAFc/+Ug=")</f>
        <v>#VALUE!</v>
      </c>
      <c r="BV5" t="e">
        <f>AND(技能表!N1,"AAAAAFc/+Uk=")</f>
        <v>#VALUE!</v>
      </c>
      <c r="BW5">
        <f>IF(技能表!2:2,"AAAAAFc/+Uo=",0)</f>
        <v>0</v>
      </c>
      <c r="BX5" t="e">
        <f>AND(技能表!A2,"AAAAAFc/+Us=")</f>
        <v>#VALUE!</v>
      </c>
      <c r="BY5" t="e">
        <f>AND(技能表!B2,"AAAAAFc/+Uw=")</f>
        <v>#VALUE!</v>
      </c>
      <c r="BZ5" t="e">
        <f>AND(技能表!C2,"AAAAAFc/+U0=")</f>
        <v>#VALUE!</v>
      </c>
      <c r="CA5" t="e">
        <f>AND(技能表!D2,"AAAAAFc/+U4=")</f>
        <v>#VALUE!</v>
      </c>
      <c r="CB5" t="e">
        <f>AND(技能表!E2,"AAAAAFc/+U8=")</f>
        <v>#VALUE!</v>
      </c>
      <c r="CC5" t="e">
        <f>AND(技能表!F2,"AAAAAFc/+VA=")</f>
        <v>#VALUE!</v>
      </c>
      <c r="CD5" t="e">
        <f>AND(技能表!G2,"AAAAAFc/+VE=")</f>
        <v>#VALUE!</v>
      </c>
      <c r="CE5" t="e">
        <f>AND(技能表!H2,"AAAAAFc/+VI=")</f>
        <v>#VALUE!</v>
      </c>
      <c r="CF5" t="e">
        <f>AND(技能表!I2,"AAAAAFc/+VM=")</f>
        <v>#VALUE!</v>
      </c>
      <c r="CG5" t="e">
        <f>AND(技能表!J2,"AAAAAFc/+VQ=")</f>
        <v>#VALUE!</v>
      </c>
      <c r="CH5" t="e">
        <f>AND(技能表!K2,"AAAAAFc/+VU=")</f>
        <v>#VALUE!</v>
      </c>
      <c r="CI5" t="e">
        <f>AND(技能表!L2,"AAAAAFc/+VY=")</f>
        <v>#VALUE!</v>
      </c>
      <c r="CJ5" t="e">
        <f>AND(技能表!M2,"AAAAAFc/+Vc=")</f>
        <v>#VALUE!</v>
      </c>
      <c r="CK5">
        <f>IF(技能表!3:3,"AAAAAFc/+Vg=",0)</f>
        <v>0</v>
      </c>
      <c r="CL5" t="e">
        <f>AND(技能表!A3,"AAAAAFc/+Vk=")</f>
        <v>#VALUE!</v>
      </c>
      <c r="CM5" t="e">
        <f>AND(技能表!B3,"AAAAAFc/+Vo=")</f>
        <v>#VALUE!</v>
      </c>
      <c r="CN5" t="e">
        <f>AND(技能表!C3,"AAAAAFc/+Vs=")</f>
        <v>#VALUE!</v>
      </c>
      <c r="CO5" t="e">
        <f>AND(技能表!D3,"AAAAAFc/+Vw=")</f>
        <v>#VALUE!</v>
      </c>
      <c r="CP5" t="e">
        <f>AND(技能表!E3,"AAAAAFc/+V0=")</f>
        <v>#VALUE!</v>
      </c>
      <c r="CQ5" t="e">
        <f>AND(技能表!F3,"AAAAAFc/+V4=")</f>
        <v>#VALUE!</v>
      </c>
      <c r="CR5" t="e">
        <f>AND(技能表!G3,"AAAAAFc/+V8=")</f>
        <v>#VALUE!</v>
      </c>
      <c r="CS5" t="e">
        <f>AND(技能表!H3,"AAAAAFc/+WA=")</f>
        <v>#VALUE!</v>
      </c>
      <c r="CT5" t="e">
        <f>AND(技能表!I3,"AAAAAFc/+WE=")</f>
        <v>#VALUE!</v>
      </c>
      <c r="CU5" t="e">
        <f>AND(技能表!J3,"AAAAAFc/+WI=")</f>
        <v>#VALUE!</v>
      </c>
      <c r="CV5" t="e">
        <f>AND(技能表!K3,"AAAAAFc/+WM=")</f>
        <v>#VALUE!</v>
      </c>
      <c r="CW5" t="e">
        <f>AND(技能表!L3,"AAAAAFc/+WQ=")</f>
        <v>#VALUE!</v>
      </c>
      <c r="CX5" t="e">
        <f>AND(技能表!M3,"AAAAAFc/+WU=")</f>
        <v>#VALUE!</v>
      </c>
      <c r="CY5">
        <f>IF(技能表!4:4,"AAAAAFc/+WY=",0)</f>
        <v>0</v>
      </c>
      <c r="CZ5" t="e">
        <f>AND(技能表!A4,"AAAAAFc/+Wc=")</f>
        <v>#VALUE!</v>
      </c>
      <c r="DA5" t="e">
        <f>AND(技能表!B4,"AAAAAFc/+Wg=")</f>
        <v>#VALUE!</v>
      </c>
      <c r="DB5" t="e">
        <f>AND(技能表!C4,"AAAAAFc/+Wk=")</f>
        <v>#VALUE!</v>
      </c>
      <c r="DC5" t="e">
        <f>AND(技能表!D4,"AAAAAFc/+Wo=")</f>
        <v>#VALUE!</v>
      </c>
      <c r="DD5" t="e">
        <f>AND(技能表!E4,"AAAAAFc/+Ws=")</f>
        <v>#VALUE!</v>
      </c>
      <c r="DE5" t="e">
        <f>AND(技能表!F4,"AAAAAFc/+Ww=")</f>
        <v>#VALUE!</v>
      </c>
      <c r="DF5" t="e">
        <f>AND(技能表!G4,"AAAAAFc/+W0=")</f>
        <v>#VALUE!</v>
      </c>
      <c r="DG5" t="e">
        <f>AND(技能表!H4,"AAAAAFc/+W4=")</f>
        <v>#VALUE!</v>
      </c>
      <c r="DH5" t="e">
        <f>AND(技能表!I4,"AAAAAFc/+W8=")</f>
        <v>#VALUE!</v>
      </c>
      <c r="DI5" t="e">
        <f>AND(技能表!J4,"AAAAAFc/+XA=")</f>
        <v>#VALUE!</v>
      </c>
      <c r="DJ5" t="e">
        <f>AND(技能表!K4,"AAAAAFc/+XE=")</f>
        <v>#VALUE!</v>
      </c>
      <c r="DK5" t="e">
        <f>AND(技能表!L4,"AAAAAFc/+XI=")</f>
        <v>#VALUE!</v>
      </c>
      <c r="DL5" t="e">
        <f>AND(技能表!M4,"AAAAAFc/+XM=")</f>
        <v>#VALUE!</v>
      </c>
      <c r="DM5">
        <f>IF(技能表!5:5,"AAAAAFc/+XQ=",0)</f>
        <v>0</v>
      </c>
      <c r="DN5" t="e">
        <f>AND(技能表!A5,"AAAAAFc/+XU=")</f>
        <v>#VALUE!</v>
      </c>
      <c r="DO5" t="e">
        <f>AND(技能表!B5,"AAAAAFc/+XY=")</f>
        <v>#VALUE!</v>
      </c>
      <c r="DP5" t="e">
        <f>AND(技能表!C5,"AAAAAFc/+Xc=")</f>
        <v>#VALUE!</v>
      </c>
      <c r="DQ5" t="e">
        <f>AND(技能表!D5,"AAAAAFc/+Xg=")</f>
        <v>#VALUE!</v>
      </c>
      <c r="DR5" t="e">
        <f>AND(技能表!E5,"AAAAAFc/+Xk=")</f>
        <v>#VALUE!</v>
      </c>
      <c r="DS5" t="e">
        <f>AND(技能表!F5,"AAAAAFc/+Xo=")</f>
        <v>#VALUE!</v>
      </c>
      <c r="DT5" t="e">
        <f>AND(技能表!G5,"AAAAAFc/+Xs=")</f>
        <v>#VALUE!</v>
      </c>
      <c r="DU5" t="e">
        <f>AND(技能表!H5,"AAAAAFc/+Xw=")</f>
        <v>#VALUE!</v>
      </c>
      <c r="DV5" t="e">
        <f>AND(技能表!I5,"AAAAAFc/+X0=")</f>
        <v>#VALUE!</v>
      </c>
      <c r="DW5" t="e">
        <f>AND(技能表!J5,"AAAAAFc/+X4=")</f>
        <v>#VALUE!</v>
      </c>
      <c r="DX5" t="e">
        <f>AND(技能表!K5,"AAAAAFc/+X8=")</f>
        <v>#VALUE!</v>
      </c>
      <c r="DY5" t="e">
        <f>AND(技能表!L5,"AAAAAFc/+YA=")</f>
        <v>#VALUE!</v>
      </c>
      <c r="DZ5" t="e">
        <f>AND(技能表!M5,"AAAAAFc/+YE=")</f>
        <v>#VALUE!</v>
      </c>
      <c r="EA5">
        <f>IF(技能表!6:6,"AAAAAFc/+YI=",0)</f>
        <v>0</v>
      </c>
      <c r="EB5" t="e">
        <f>AND(技能表!A6,"AAAAAFc/+YM=")</f>
        <v>#VALUE!</v>
      </c>
      <c r="EC5" t="e">
        <f>AND(技能表!B6,"AAAAAFc/+YQ=")</f>
        <v>#VALUE!</v>
      </c>
      <c r="ED5" t="e">
        <f>AND(技能表!C6,"AAAAAFc/+YU=")</f>
        <v>#VALUE!</v>
      </c>
      <c r="EE5" t="e">
        <f>AND(技能表!D6,"AAAAAFc/+YY=")</f>
        <v>#VALUE!</v>
      </c>
      <c r="EF5" t="e">
        <f>AND(技能表!E6,"AAAAAFc/+Yc=")</f>
        <v>#VALUE!</v>
      </c>
      <c r="EG5" t="e">
        <f>AND(技能表!F6,"AAAAAFc/+Yg=")</f>
        <v>#VALUE!</v>
      </c>
      <c r="EH5" t="e">
        <f>AND(技能表!G6,"AAAAAFc/+Yk=")</f>
        <v>#VALUE!</v>
      </c>
      <c r="EI5" t="e">
        <f>AND(技能表!H6,"AAAAAFc/+Yo=")</f>
        <v>#VALUE!</v>
      </c>
      <c r="EJ5" t="e">
        <f>AND(技能表!I6,"AAAAAFc/+Ys=")</f>
        <v>#VALUE!</v>
      </c>
      <c r="EK5" t="e">
        <f>AND(技能表!J6,"AAAAAFc/+Yw=")</f>
        <v>#VALUE!</v>
      </c>
      <c r="EL5" t="e">
        <f>AND(技能表!K6,"AAAAAFc/+Y0=")</f>
        <v>#VALUE!</v>
      </c>
      <c r="EM5" t="e">
        <f>AND(技能表!L6,"AAAAAFc/+Y4=")</f>
        <v>#VALUE!</v>
      </c>
      <c r="EN5" t="e">
        <f>AND(技能表!M6,"AAAAAFc/+Y8=")</f>
        <v>#VALUE!</v>
      </c>
      <c r="EO5">
        <f>IF(技能表!7:7,"AAAAAFc/+ZA=",0)</f>
        <v>0</v>
      </c>
      <c r="EP5" t="e">
        <f>AND(技能表!A7,"AAAAAFc/+ZE=")</f>
        <v>#VALUE!</v>
      </c>
      <c r="EQ5" t="e">
        <f>AND(技能表!B7,"AAAAAFc/+ZI=")</f>
        <v>#VALUE!</v>
      </c>
      <c r="ER5" t="e">
        <f>AND(技能表!C7,"AAAAAFc/+ZM=")</f>
        <v>#VALUE!</v>
      </c>
      <c r="ES5" t="e">
        <f>AND(技能表!D7,"AAAAAFc/+ZQ=")</f>
        <v>#VALUE!</v>
      </c>
      <c r="ET5" t="e">
        <f>AND(技能表!E7,"AAAAAFc/+ZU=")</f>
        <v>#VALUE!</v>
      </c>
      <c r="EU5" t="e">
        <f>AND(技能表!F7,"AAAAAFc/+ZY=")</f>
        <v>#VALUE!</v>
      </c>
      <c r="EV5" t="e">
        <f>AND(技能表!G7,"AAAAAFc/+Zc=")</f>
        <v>#VALUE!</v>
      </c>
      <c r="EW5" t="e">
        <f>AND(技能表!H7,"AAAAAFc/+Zg=")</f>
        <v>#VALUE!</v>
      </c>
      <c r="EX5" t="e">
        <f>AND(技能表!I7,"AAAAAFc/+Zk=")</f>
        <v>#VALUE!</v>
      </c>
      <c r="EY5" t="e">
        <f>AND(技能表!J7,"AAAAAFc/+Zo=")</f>
        <v>#VALUE!</v>
      </c>
      <c r="EZ5" t="e">
        <f>AND(技能表!K7,"AAAAAFc/+Zs=")</f>
        <v>#VALUE!</v>
      </c>
      <c r="FA5" t="e">
        <f>AND(技能表!L7,"AAAAAFc/+Zw=")</f>
        <v>#VALUE!</v>
      </c>
      <c r="FB5" t="e">
        <f>AND(技能表!M7,"AAAAAFc/+Z0=")</f>
        <v>#VALUE!</v>
      </c>
      <c r="FC5">
        <f>IF(技能表!8:8,"AAAAAFc/+Z4=",0)</f>
        <v>0</v>
      </c>
      <c r="FD5" t="e">
        <f>AND(技能表!A8,"AAAAAFc/+Z8=")</f>
        <v>#VALUE!</v>
      </c>
      <c r="FE5" t="e">
        <f>AND(技能表!B8,"AAAAAFc/+aA=")</f>
        <v>#VALUE!</v>
      </c>
      <c r="FF5" t="e">
        <f>AND(技能表!C8,"AAAAAFc/+aE=")</f>
        <v>#VALUE!</v>
      </c>
      <c r="FG5" t="e">
        <f>AND(技能表!D8,"AAAAAFc/+aI=")</f>
        <v>#VALUE!</v>
      </c>
      <c r="FH5" t="e">
        <f>AND(技能表!E8,"AAAAAFc/+aM=")</f>
        <v>#VALUE!</v>
      </c>
      <c r="FI5" t="e">
        <f>AND(技能表!F8,"AAAAAFc/+aQ=")</f>
        <v>#VALUE!</v>
      </c>
      <c r="FJ5" t="e">
        <f>AND(技能表!G8,"AAAAAFc/+aU=")</f>
        <v>#VALUE!</v>
      </c>
      <c r="FK5" t="e">
        <f>AND(技能表!H8,"AAAAAFc/+aY=")</f>
        <v>#VALUE!</v>
      </c>
      <c r="FL5" t="e">
        <f>AND(技能表!I8,"AAAAAFc/+ac=")</f>
        <v>#VALUE!</v>
      </c>
      <c r="FM5" t="e">
        <f>AND(技能表!J8,"AAAAAFc/+ag=")</f>
        <v>#VALUE!</v>
      </c>
      <c r="FN5" t="e">
        <f>AND(技能表!K8,"AAAAAFc/+ak=")</f>
        <v>#VALUE!</v>
      </c>
      <c r="FO5" t="e">
        <f>AND(技能表!L8,"AAAAAFc/+ao=")</f>
        <v>#VALUE!</v>
      </c>
      <c r="FP5" t="e">
        <f>AND(技能表!M8,"AAAAAFc/+as=")</f>
        <v>#VALUE!</v>
      </c>
      <c r="FQ5">
        <f>IF(技能表!9:9,"AAAAAFc/+aw=",0)</f>
        <v>0</v>
      </c>
      <c r="FR5" t="e">
        <f>AND(技能表!A9,"AAAAAFc/+a0=")</f>
        <v>#VALUE!</v>
      </c>
      <c r="FS5" t="e">
        <f>AND(技能表!B9,"AAAAAFc/+a4=")</f>
        <v>#VALUE!</v>
      </c>
      <c r="FT5" t="e">
        <f>AND(技能表!C9,"AAAAAFc/+a8=")</f>
        <v>#VALUE!</v>
      </c>
      <c r="FU5" t="e">
        <f>AND(技能表!D9,"AAAAAFc/+bA=")</f>
        <v>#VALUE!</v>
      </c>
      <c r="FV5" t="e">
        <f>AND(技能表!E9,"AAAAAFc/+bE=")</f>
        <v>#VALUE!</v>
      </c>
      <c r="FW5" t="e">
        <f>AND(技能表!F9,"AAAAAFc/+bI=")</f>
        <v>#VALUE!</v>
      </c>
      <c r="FX5" t="e">
        <f>AND(技能表!G9,"AAAAAFc/+bM=")</f>
        <v>#VALUE!</v>
      </c>
      <c r="FY5" t="e">
        <f>AND(技能表!H9,"AAAAAFc/+bQ=")</f>
        <v>#VALUE!</v>
      </c>
      <c r="FZ5" t="e">
        <f>AND(技能表!I9,"AAAAAFc/+bU=")</f>
        <v>#VALUE!</v>
      </c>
      <c r="GA5" t="e">
        <f>AND(技能表!J9,"AAAAAFc/+bY=")</f>
        <v>#VALUE!</v>
      </c>
      <c r="GB5" t="e">
        <f>AND(技能表!K9,"AAAAAFc/+bc=")</f>
        <v>#VALUE!</v>
      </c>
      <c r="GC5" t="e">
        <f>AND(技能表!L9,"AAAAAFc/+bg=")</f>
        <v>#VALUE!</v>
      </c>
      <c r="GD5" t="e">
        <f>AND(技能表!M9,"AAAAAFc/+bk=")</f>
        <v>#VALUE!</v>
      </c>
      <c r="GE5" t="e">
        <f>IF(技能表!A:A,"AAAAAFc/+bo=",0)</f>
        <v>#VALUE!</v>
      </c>
      <c r="GF5" t="e">
        <f>IF(技能表!B:B,"AAAAAFc/+bs=",0)</f>
        <v>#VALUE!</v>
      </c>
      <c r="GG5" t="e">
        <f>IF(技能表!C:C,"AAAAAFc/+bw=",0)</f>
        <v>#VALUE!</v>
      </c>
      <c r="GH5" t="e">
        <f>IF(技能表!D:D,"AAAAAFc/+b0=",0)</f>
        <v>#VALUE!</v>
      </c>
      <c r="GI5" t="str">
        <f>IF(技能表!E:E,"AAAAAFc/+b4=",0)</f>
        <v>AAAAAFc/+b4=</v>
      </c>
      <c r="GJ5" t="e">
        <f>IF(技能表!F:F,"AAAAAFc/+b8=",0)</f>
        <v>#VALUE!</v>
      </c>
      <c r="GK5" t="e">
        <f>IF(技能表!G:G,"AAAAAFc/+cA=",0)</f>
        <v>#VALUE!</v>
      </c>
      <c r="GL5" t="e">
        <f>IF(技能表!H:H,"AAAAAFc/+cE=",0)</f>
        <v>#VALUE!</v>
      </c>
      <c r="GM5" t="e">
        <f>IF(技能表!I:I,"AAAAAFc/+cI=",0)</f>
        <v>#VALUE!</v>
      </c>
      <c r="GN5" t="e">
        <f>IF(技能表!J:J,"AAAAAFc/+cM=",0)</f>
        <v>#VALUE!</v>
      </c>
      <c r="GO5" t="e">
        <f>IF(技能表!K:K,"AAAAAFc/+cQ=",0)</f>
        <v>#VALUE!</v>
      </c>
      <c r="GP5" t="e">
        <f>IF(技能表!L:L,"AAAAAFc/+cU=",0)</f>
        <v>#VALUE!</v>
      </c>
      <c r="GQ5" t="e">
        <f>IF(技能表!M:M,"AAAAAFc/+cY=",0)</f>
        <v>#VALUE!</v>
      </c>
      <c r="GR5">
        <f>IF(技能表!N:N,"AAAAAFc/+cc=",0)</f>
        <v>0</v>
      </c>
      <c r="GS5">
        <f>IF(锻造几率!1:1,"AAAAAFc/+cg=",0)</f>
        <v>0</v>
      </c>
      <c r="GT5" t="e">
        <f>AND(锻造几率!A1,"AAAAAFc/+ck=")</f>
        <v>#VALUE!</v>
      </c>
      <c r="GU5" t="e">
        <f>AND(锻造几率!B1,"AAAAAFc/+co=")</f>
        <v>#VALUE!</v>
      </c>
      <c r="GV5" t="e">
        <f>AND(锻造几率!C1,"AAAAAFc/+cs=")</f>
        <v>#VALUE!</v>
      </c>
      <c r="GW5" t="e">
        <f>AND(锻造几率!D1,"AAAAAFc/+cw=")</f>
        <v>#VALUE!</v>
      </c>
      <c r="GX5" t="e">
        <f>AND(锻造几率!E1,"AAAAAFc/+c0=")</f>
        <v>#VALUE!</v>
      </c>
      <c r="GY5">
        <f>IF(锻造几率!2:2,"AAAAAFc/+c4=",0)</f>
        <v>0</v>
      </c>
      <c r="GZ5" t="e">
        <f>AND(锻造几率!A2,"AAAAAFc/+c8=")</f>
        <v>#VALUE!</v>
      </c>
      <c r="HA5" t="e">
        <f>AND(锻造几率!B2,"AAAAAFc/+dA=")</f>
        <v>#VALUE!</v>
      </c>
      <c r="HB5" t="e">
        <f>AND(锻造几率!C2,"AAAAAFc/+dE=")</f>
        <v>#VALUE!</v>
      </c>
      <c r="HC5" t="e">
        <f>AND(锻造几率!D2,"AAAAAFc/+dI=")</f>
        <v>#VALUE!</v>
      </c>
      <c r="HD5" t="e">
        <f>AND(锻造几率!E2,"AAAAAFc/+dM=")</f>
        <v>#VALUE!</v>
      </c>
      <c r="HE5">
        <f>IF(锻造几率!3:3,"AAAAAFc/+dQ=",0)</f>
        <v>0</v>
      </c>
      <c r="HF5" t="e">
        <f>AND(锻造几率!A3,"AAAAAFc/+dU=")</f>
        <v>#VALUE!</v>
      </c>
      <c r="HG5" t="e">
        <f>AND(锻造几率!B3,"AAAAAFc/+dY=")</f>
        <v>#VALUE!</v>
      </c>
      <c r="HH5" t="e">
        <f>AND(锻造几率!C3,"AAAAAFc/+dc=")</f>
        <v>#VALUE!</v>
      </c>
      <c r="HI5" t="e">
        <f>AND(锻造几率!D3,"AAAAAFc/+dg=")</f>
        <v>#VALUE!</v>
      </c>
      <c r="HJ5" t="e">
        <f>AND(锻造几率!E3,"AAAAAFc/+dk=")</f>
        <v>#VALUE!</v>
      </c>
      <c r="HK5">
        <f>IF(锻造几率!4:4,"AAAAAFc/+do=",0)</f>
        <v>0</v>
      </c>
      <c r="HL5" t="e">
        <f>AND(锻造几率!A4,"AAAAAFc/+ds=")</f>
        <v>#VALUE!</v>
      </c>
      <c r="HM5" t="e">
        <f>AND(锻造几率!B4,"AAAAAFc/+dw=")</f>
        <v>#VALUE!</v>
      </c>
      <c r="HN5" t="e">
        <f>AND(锻造几率!C4,"AAAAAFc/+d0=")</f>
        <v>#VALUE!</v>
      </c>
      <c r="HO5" t="e">
        <f>AND(锻造几率!D4,"AAAAAFc/+d4=")</f>
        <v>#VALUE!</v>
      </c>
      <c r="HP5" t="e">
        <f>AND(锻造几率!E4,"AAAAAFc/+d8=")</f>
        <v>#VALUE!</v>
      </c>
      <c r="HQ5">
        <f>IF(锻造几率!5:5,"AAAAAFc/+eA=",0)</f>
        <v>0</v>
      </c>
      <c r="HR5" t="e">
        <f>AND(锻造几率!A5,"AAAAAFc/+eE=")</f>
        <v>#VALUE!</v>
      </c>
      <c r="HS5" t="e">
        <f>AND(锻造几率!B5,"AAAAAFc/+eI=")</f>
        <v>#VALUE!</v>
      </c>
      <c r="HT5" t="e">
        <f>AND(锻造几率!C5,"AAAAAFc/+eM=")</f>
        <v>#VALUE!</v>
      </c>
      <c r="HU5" t="e">
        <f>AND(锻造几率!D5,"AAAAAFc/+eQ=")</f>
        <v>#VALUE!</v>
      </c>
      <c r="HV5" t="e">
        <f>AND(锻造几率!E5,"AAAAAFc/+eU=")</f>
        <v>#VALUE!</v>
      </c>
      <c r="HW5">
        <f>IF(锻造几率!6:6,"AAAAAFc/+eY=",0)</f>
        <v>0</v>
      </c>
      <c r="HX5" t="e">
        <f>AND(锻造几率!A6,"AAAAAFc/+ec=")</f>
        <v>#VALUE!</v>
      </c>
      <c r="HY5" t="e">
        <f>AND(锻造几率!B6,"AAAAAFc/+eg=")</f>
        <v>#VALUE!</v>
      </c>
      <c r="HZ5" t="e">
        <f>AND(锻造几率!C6,"AAAAAFc/+ek=")</f>
        <v>#VALUE!</v>
      </c>
      <c r="IA5" t="e">
        <f>AND(锻造几率!D6,"AAAAAFc/+eo=")</f>
        <v>#VALUE!</v>
      </c>
      <c r="IB5" t="e">
        <f>AND(锻造几率!E6,"AAAAAFc/+es=")</f>
        <v>#VALUE!</v>
      </c>
      <c r="IC5">
        <f>IF(锻造几率!7:7,"AAAAAFc/+ew=",0)</f>
        <v>0</v>
      </c>
      <c r="ID5" t="e">
        <f>AND(锻造几率!A7,"AAAAAFc/+e0=")</f>
        <v>#VALUE!</v>
      </c>
      <c r="IE5" t="e">
        <f>AND(锻造几率!B7,"AAAAAFc/+e4=")</f>
        <v>#VALUE!</v>
      </c>
      <c r="IF5" t="e">
        <f>AND(锻造几率!C7,"AAAAAFc/+e8=")</f>
        <v>#VALUE!</v>
      </c>
      <c r="IG5" t="e">
        <f>AND(锻造几率!D7,"AAAAAFc/+fA=")</f>
        <v>#VALUE!</v>
      </c>
      <c r="IH5" t="e">
        <f>AND(锻造几率!E7,"AAAAAFc/+fE=")</f>
        <v>#VALUE!</v>
      </c>
      <c r="II5">
        <f>IF(锻造几率!8:8,"AAAAAFc/+fI=",0)</f>
        <v>0</v>
      </c>
      <c r="IJ5" t="e">
        <f>AND(锻造几率!A8,"AAAAAFc/+fM=")</f>
        <v>#VALUE!</v>
      </c>
      <c r="IK5" t="e">
        <f>AND(锻造几率!B8,"AAAAAFc/+fQ=")</f>
        <v>#VALUE!</v>
      </c>
      <c r="IL5" t="e">
        <f>AND(锻造几率!C8,"AAAAAFc/+fU=")</f>
        <v>#VALUE!</v>
      </c>
      <c r="IM5" t="e">
        <f>AND(锻造几率!D8,"AAAAAFc/+fY=")</f>
        <v>#VALUE!</v>
      </c>
      <c r="IN5" t="e">
        <f>AND(锻造几率!E8,"AAAAAFc/+fc=")</f>
        <v>#VALUE!</v>
      </c>
      <c r="IO5">
        <f>IF(锻造几率!9:9,"AAAAAFc/+fg=",0)</f>
        <v>0</v>
      </c>
      <c r="IP5" t="e">
        <f>AND(锻造几率!A9,"AAAAAFc/+fk=")</f>
        <v>#VALUE!</v>
      </c>
      <c r="IQ5" t="e">
        <f>AND(锻造几率!B9,"AAAAAFc/+fo=")</f>
        <v>#VALUE!</v>
      </c>
      <c r="IR5" t="e">
        <f>AND(锻造几率!C9,"AAAAAFc/+fs=")</f>
        <v>#VALUE!</v>
      </c>
      <c r="IS5" t="e">
        <f>AND(锻造几率!D9,"AAAAAFc/+fw=")</f>
        <v>#VALUE!</v>
      </c>
      <c r="IT5" t="e">
        <f>AND(锻造几率!E9,"AAAAAFc/+f0=")</f>
        <v>#VALUE!</v>
      </c>
      <c r="IU5">
        <f>IF(锻造几率!10:10,"AAAAAFc/+f4=",0)</f>
        <v>0</v>
      </c>
      <c r="IV5" t="e">
        <f>AND(锻造几率!A10,"AAAAAFc/+f8=")</f>
        <v>#VALUE!</v>
      </c>
    </row>
    <row r="6" spans="1:256">
      <c r="A6" t="e">
        <f>AND(锻造几率!B10,"AAAAAHs3bgA=")</f>
        <v>#VALUE!</v>
      </c>
      <c r="B6" t="e">
        <f>AND(锻造几率!C10,"AAAAAHs3bgE=")</f>
        <v>#VALUE!</v>
      </c>
      <c r="C6" t="e">
        <f>AND(锻造几率!D10,"AAAAAHs3bgI=")</f>
        <v>#VALUE!</v>
      </c>
      <c r="D6" t="e">
        <f>AND(锻造几率!E10,"AAAAAHs3bgM=")</f>
        <v>#VALUE!</v>
      </c>
      <c r="E6" t="str">
        <f>IF(锻造几率!11:11,"AAAAAHs3bgQ=",0)</f>
        <v>AAAAAHs3bgQ=</v>
      </c>
      <c r="F6" t="e">
        <f>AND(锻造几率!A11,"AAAAAHs3bgU=")</f>
        <v>#VALUE!</v>
      </c>
      <c r="G6" t="e">
        <f>AND(锻造几率!B11,"AAAAAHs3bgY=")</f>
        <v>#VALUE!</v>
      </c>
      <c r="H6" t="e">
        <f>AND(锻造几率!C11,"AAAAAHs3bgc=")</f>
        <v>#VALUE!</v>
      </c>
      <c r="I6" t="e">
        <f>AND(锻造几率!D11,"AAAAAHs3bgg=")</f>
        <v>#VALUE!</v>
      </c>
      <c r="J6" t="e">
        <f>AND(锻造几率!E11,"AAAAAHs3bgk=")</f>
        <v>#VALUE!</v>
      </c>
      <c r="K6">
        <f>IF(锻造几率!12:12,"AAAAAHs3bgo=",0)</f>
        <v>0</v>
      </c>
      <c r="L6" t="e">
        <f>AND(锻造几率!A12,"AAAAAHs3bgs=")</f>
        <v>#VALUE!</v>
      </c>
      <c r="M6" t="e">
        <f>AND(锻造几率!B12,"AAAAAHs3bgw=")</f>
        <v>#VALUE!</v>
      </c>
      <c r="N6" t="e">
        <f>AND(锻造几率!C12,"AAAAAHs3bg0=")</f>
        <v>#VALUE!</v>
      </c>
      <c r="O6" t="e">
        <f>AND(锻造几率!D12,"AAAAAHs3bg4=")</f>
        <v>#VALUE!</v>
      </c>
      <c r="P6" t="e">
        <f>AND(锻造几率!E12,"AAAAAHs3bg8=")</f>
        <v>#VALUE!</v>
      </c>
      <c r="Q6">
        <f>IF(锻造几率!13:13,"AAAAAHs3bhA=",0)</f>
        <v>0</v>
      </c>
      <c r="R6" t="e">
        <f>AND(锻造几率!A13,"AAAAAHs3bhE=")</f>
        <v>#VALUE!</v>
      </c>
      <c r="S6" t="e">
        <f>AND(锻造几率!B13,"AAAAAHs3bhI=")</f>
        <v>#VALUE!</v>
      </c>
      <c r="T6" t="e">
        <f>AND(锻造几率!C13,"AAAAAHs3bhM=")</f>
        <v>#VALUE!</v>
      </c>
      <c r="U6" t="e">
        <f>AND(锻造几率!D13,"AAAAAHs3bhQ=")</f>
        <v>#VALUE!</v>
      </c>
      <c r="V6" t="e">
        <f>AND(锻造几率!E13,"AAAAAHs3bhU=")</f>
        <v>#VALUE!</v>
      </c>
      <c r="W6">
        <f>IF(锻造几率!14:14,"AAAAAHs3bhY=",0)</f>
        <v>0</v>
      </c>
      <c r="X6" t="e">
        <f>AND(锻造几率!A14,"AAAAAHs3bhc=")</f>
        <v>#VALUE!</v>
      </c>
      <c r="Y6" t="e">
        <f>AND(锻造几率!B14,"AAAAAHs3bhg=")</f>
        <v>#VALUE!</v>
      </c>
      <c r="Z6" t="e">
        <f>AND(锻造几率!C14,"AAAAAHs3bhk=")</f>
        <v>#VALUE!</v>
      </c>
      <c r="AA6" t="e">
        <f>AND(锻造几率!D14,"AAAAAHs3bho=")</f>
        <v>#VALUE!</v>
      </c>
      <c r="AB6" t="e">
        <f>AND(锻造几率!E14,"AAAAAHs3bhs=")</f>
        <v>#VALUE!</v>
      </c>
      <c r="AC6">
        <f>IF(锻造几率!15:15,"AAAAAHs3bhw=",0)</f>
        <v>0</v>
      </c>
      <c r="AD6" t="e">
        <f>AND(锻造几率!A15,"AAAAAHs3bh0=")</f>
        <v>#VALUE!</v>
      </c>
      <c r="AE6" t="e">
        <f>AND(锻造几率!B15,"AAAAAHs3bh4=")</f>
        <v>#VALUE!</v>
      </c>
      <c r="AF6" t="e">
        <f>AND(锻造几率!C15,"AAAAAHs3bh8=")</f>
        <v>#VALUE!</v>
      </c>
      <c r="AG6" t="e">
        <f>AND(锻造几率!D15,"AAAAAHs3biA=")</f>
        <v>#VALUE!</v>
      </c>
      <c r="AH6" t="e">
        <f>AND(锻造几率!E15,"AAAAAHs3biE=")</f>
        <v>#VALUE!</v>
      </c>
      <c r="AI6">
        <f>IF(锻造几率!16:16,"AAAAAHs3biI=",0)</f>
        <v>0</v>
      </c>
      <c r="AJ6" t="e">
        <f>AND(锻造几率!A16,"AAAAAHs3biM=")</f>
        <v>#VALUE!</v>
      </c>
      <c r="AK6" t="e">
        <f>AND(锻造几率!B16,"AAAAAHs3biQ=")</f>
        <v>#VALUE!</v>
      </c>
      <c r="AL6" t="e">
        <f>AND(锻造几率!C16,"AAAAAHs3biU=")</f>
        <v>#VALUE!</v>
      </c>
      <c r="AM6" t="e">
        <f>AND(锻造几率!D16,"AAAAAHs3biY=")</f>
        <v>#VALUE!</v>
      </c>
      <c r="AN6" t="e">
        <f>AND(锻造几率!E16,"AAAAAHs3bic=")</f>
        <v>#VALUE!</v>
      </c>
      <c r="AO6">
        <f>IF(锻造几率!17:17,"AAAAAHs3big=",0)</f>
        <v>0</v>
      </c>
      <c r="AP6" t="e">
        <f>AND(锻造几率!A17,"AAAAAHs3bik=")</f>
        <v>#VALUE!</v>
      </c>
      <c r="AQ6" t="e">
        <f>AND(锻造几率!B17,"AAAAAHs3bio=")</f>
        <v>#VALUE!</v>
      </c>
      <c r="AR6" t="e">
        <f>AND(锻造几率!C17,"AAAAAHs3bis=")</f>
        <v>#VALUE!</v>
      </c>
      <c r="AS6" t="e">
        <f>AND(锻造几率!D17,"AAAAAHs3biw=")</f>
        <v>#VALUE!</v>
      </c>
      <c r="AT6" t="e">
        <f>AND(锻造几率!E17,"AAAAAHs3bi0=")</f>
        <v>#VALUE!</v>
      </c>
      <c r="AU6">
        <f>IF(锻造几率!18:18,"AAAAAHs3bi4=",0)</f>
        <v>0</v>
      </c>
      <c r="AV6" t="e">
        <f>AND(锻造几率!A18,"AAAAAHs3bi8=")</f>
        <v>#VALUE!</v>
      </c>
      <c r="AW6" t="e">
        <f>AND(锻造几率!B18,"AAAAAHs3bjA=")</f>
        <v>#VALUE!</v>
      </c>
      <c r="AX6" t="e">
        <f>AND(锻造几率!C18,"AAAAAHs3bjE=")</f>
        <v>#VALUE!</v>
      </c>
      <c r="AY6" t="e">
        <f>AND(锻造几率!D18,"AAAAAHs3bjI=")</f>
        <v>#VALUE!</v>
      </c>
      <c r="AZ6" t="e">
        <f>AND(锻造几率!E18,"AAAAAHs3bjM=")</f>
        <v>#VALUE!</v>
      </c>
      <c r="BA6">
        <f>IF(锻造几率!19:19,"AAAAAHs3bjQ=",0)</f>
        <v>0</v>
      </c>
      <c r="BB6" t="e">
        <f>AND(锻造几率!A19,"AAAAAHs3bjU=")</f>
        <v>#VALUE!</v>
      </c>
      <c r="BC6" t="e">
        <f>AND(锻造几率!B19,"AAAAAHs3bjY=")</f>
        <v>#VALUE!</v>
      </c>
      <c r="BD6" t="e">
        <f>AND(锻造几率!C19,"AAAAAHs3bjc=")</f>
        <v>#VALUE!</v>
      </c>
      <c r="BE6" t="e">
        <f>AND(锻造几率!D19,"AAAAAHs3bjg=")</f>
        <v>#VALUE!</v>
      </c>
      <c r="BF6" t="e">
        <f>AND(锻造几率!E19,"AAAAAHs3bjk=")</f>
        <v>#VALUE!</v>
      </c>
      <c r="BG6">
        <f>IF(锻造几率!20:20,"AAAAAHs3bjo=",0)</f>
        <v>0</v>
      </c>
      <c r="BH6" t="e">
        <f>AND(锻造几率!A20,"AAAAAHs3bjs=")</f>
        <v>#VALUE!</v>
      </c>
      <c r="BI6" t="e">
        <f>AND(锻造几率!B20,"AAAAAHs3bjw=")</f>
        <v>#VALUE!</v>
      </c>
      <c r="BJ6" t="e">
        <f>AND(锻造几率!C20,"AAAAAHs3bj0=")</f>
        <v>#VALUE!</v>
      </c>
      <c r="BK6" t="e">
        <f>AND(锻造几率!D20,"AAAAAHs3bj4=")</f>
        <v>#VALUE!</v>
      </c>
      <c r="BL6" t="e">
        <f>AND(锻造几率!E20,"AAAAAHs3bj8=")</f>
        <v>#VALUE!</v>
      </c>
      <c r="BM6">
        <f>IF(锻造几率!21:21,"AAAAAHs3bkA=",0)</f>
        <v>0</v>
      </c>
      <c r="BN6" t="e">
        <f>AND(锻造几率!A21,"AAAAAHs3bkE=")</f>
        <v>#VALUE!</v>
      </c>
      <c r="BO6" t="e">
        <f>AND(锻造几率!B21,"AAAAAHs3bkI=")</f>
        <v>#VALUE!</v>
      </c>
      <c r="BP6" t="e">
        <f>AND(锻造几率!C21,"AAAAAHs3bkM=")</f>
        <v>#VALUE!</v>
      </c>
      <c r="BQ6" t="e">
        <f>AND(锻造几率!D21,"AAAAAHs3bkQ=")</f>
        <v>#VALUE!</v>
      </c>
      <c r="BR6" t="e">
        <f>AND(锻造几率!E21,"AAAAAHs3bkU=")</f>
        <v>#VALUE!</v>
      </c>
      <c r="BS6">
        <f>IF(锻造几率!22:22,"AAAAAHs3bkY=",0)</f>
        <v>0</v>
      </c>
      <c r="BT6" t="e">
        <f>AND(锻造几率!A22,"AAAAAHs3bkc=")</f>
        <v>#VALUE!</v>
      </c>
      <c r="BU6" t="e">
        <f>AND(锻造几率!B22,"AAAAAHs3bkg=")</f>
        <v>#VALUE!</v>
      </c>
      <c r="BV6" t="e">
        <f>AND(锻造几率!C22,"AAAAAHs3bkk=")</f>
        <v>#VALUE!</v>
      </c>
      <c r="BW6" t="e">
        <f>AND(锻造几率!D22,"AAAAAHs3bko=")</f>
        <v>#VALUE!</v>
      </c>
      <c r="BX6" t="e">
        <f>AND(锻造几率!E22,"AAAAAHs3bks=")</f>
        <v>#VALUE!</v>
      </c>
      <c r="BY6">
        <f>IF(锻造几率!23:23,"AAAAAHs3bkw=",0)</f>
        <v>0</v>
      </c>
      <c r="BZ6" t="e">
        <f>AND(锻造几率!A23,"AAAAAHs3bk0=")</f>
        <v>#VALUE!</v>
      </c>
      <c r="CA6" t="e">
        <f>AND(锻造几率!B23,"AAAAAHs3bk4=")</f>
        <v>#VALUE!</v>
      </c>
      <c r="CB6" t="e">
        <f>AND(锻造几率!C23,"AAAAAHs3bk8=")</f>
        <v>#VALUE!</v>
      </c>
      <c r="CC6" t="e">
        <f>AND(锻造几率!D23,"AAAAAHs3blA=")</f>
        <v>#VALUE!</v>
      </c>
      <c r="CD6" t="e">
        <f>AND(锻造几率!E23,"AAAAAHs3blE=")</f>
        <v>#VALUE!</v>
      </c>
      <c r="CE6">
        <f>IF(锻造几率!24:24,"AAAAAHs3blI=",0)</f>
        <v>0</v>
      </c>
      <c r="CF6" t="e">
        <f>AND(锻造几率!A24,"AAAAAHs3blM=")</f>
        <v>#VALUE!</v>
      </c>
      <c r="CG6" t="e">
        <f>AND(锻造几率!B24,"AAAAAHs3blQ=")</f>
        <v>#VALUE!</v>
      </c>
      <c r="CH6" t="e">
        <f>AND(锻造几率!C24,"AAAAAHs3blU=")</f>
        <v>#VALUE!</v>
      </c>
      <c r="CI6" t="e">
        <f>AND(锻造几率!D24,"AAAAAHs3blY=")</f>
        <v>#VALUE!</v>
      </c>
      <c r="CJ6" t="e">
        <f>AND(锻造几率!E24,"AAAAAHs3blc=")</f>
        <v>#VALUE!</v>
      </c>
      <c r="CK6">
        <f>IF(锻造几率!25:25,"AAAAAHs3blg=",0)</f>
        <v>0</v>
      </c>
      <c r="CL6" t="e">
        <f>AND(锻造几率!A25,"AAAAAHs3blk=")</f>
        <v>#VALUE!</v>
      </c>
      <c r="CM6" t="e">
        <f>AND(锻造几率!B25,"AAAAAHs3blo=")</f>
        <v>#VALUE!</v>
      </c>
      <c r="CN6" t="e">
        <f>AND(锻造几率!C25,"AAAAAHs3bls=")</f>
        <v>#VALUE!</v>
      </c>
      <c r="CO6" t="e">
        <f>AND(锻造几率!D25,"AAAAAHs3blw=")</f>
        <v>#VALUE!</v>
      </c>
      <c r="CP6" t="e">
        <f>AND(锻造几率!E25,"AAAAAHs3bl0=")</f>
        <v>#VALUE!</v>
      </c>
      <c r="CQ6">
        <f>IF(锻造几率!26:26,"AAAAAHs3bl4=",0)</f>
        <v>0</v>
      </c>
      <c r="CR6" t="e">
        <f>AND(锻造几率!A26,"AAAAAHs3bl8=")</f>
        <v>#VALUE!</v>
      </c>
      <c r="CS6" t="e">
        <f>AND(锻造几率!B26,"AAAAAHs3bmA=")</f>
        <v>#VALUE!</v>
      </c>
      <c r="CT6" t="e">
        <f>AND(锻造几率!C26,"AAAAAHs3bmE=")</f>
        <v>#VALUE!</v>
      </c>
      <c r="CU6" t="e">
        <f>AND(锻造几率!D26,"AAAAAHs3bmI=")</f>
        <v>#VALUE!</v>
      </c>
      <c r="CV6" t="e">
        <f>AND(锻造几率!E26,"AAAAAHs3bmM=")</f>
        <v>#VALUE!</v>
      </c>
      <c r="CW6">
        <f>IF(锻造几率!27:27,"AAAAAHs3bmQ=",0)</f>
        <v>0</v>
      </c>
      <c r="CX6" t="e">
        <f>AND(锻造几率!A27,"AAAAAHs3bmU=")</f>
        <v>#VALUE!</v>
      </c>
      <c r="CY6" t="e">
        <f>AND(锻造几率!B27,"AAAAAHs3bmY=")</f>
        <v>#VALUE!</v>
      </c>
      <c r="CZ6" t="e">
        <f>AND(锻造几率!C27,"AAAAAHs3bmc=")</f>
        <v>#VALUE!</v>
      </c>
      <c r="DA6" t="e">
        <f>AND(锻造几率!D27,"AAAAAHs3bmg=")</f>
        <v>#VALUE!</v>
      </c>
      <c r="DB6" t="e">
        <f>AND(锻造几率!E27,"AAAAAHs3bmk=")</f>
        <v>#VALUE!</v>
      </c>
      <c r="DC6">
        <f>IF(锻造几率!28:28,"AAAAAHs3bmo=",0)</f>
        <v>0</v>
      </c>
      <c r="DD6" t="e">
        <f>AND(锻造几率!A28,"AAAAAHs3bms=")</f>
        <v>#VALUE!</v>
      </c>
      <c r="DE6" t="e">
        <f>AND(锻造几率!B28,"AAAAAHs3bmw=")</f>
        <v>#VALUE!</v>
      </c>
      <c r="DF6" t="e">
        <f>AND(锻造几率!C28,"AAAAAHs3bm0=")</f>
        <v>#VALUE!</v>
      </c>
      <c r="DG6" t="e">
        <f>AND(锻造几率!D28,"AAAAAHs3bm4=")</f>
        <v>#VALUE!</v>
      </c>
      <c r="DH6" t="e">
        <f>AND(锻造几率!E28,"AAAAAHs3bm8=")</f>
        <v>#VALUE!</v>
      </c>
      <c r="DI6">
        <f>IF(锻造几率!29:29,"AAAAAHs3bnA=",0)</f>
        <v>0</v>
      </c>
      <c r="DJ6" t="e">
        <f>AND(锻造几率!A29,"AAAAAHs3bnE=")</f>
        <v>#VALUE!</v>
      </c>
      <c r="DK6" t="e">
        <f>AND(锻造几率!B29,"AAAAAHs3bnI=")</f>
        <v>#VALUE!</v>
      </c>
      <c r="DL6" t="e">
        <f>AND(锻造几率!C29,"AAAAAHs3bnM=")</f>
        <v>#VALUE!</v>
      </c>
      <c r="DM6" t="e">
        <f>AND(锻造几率!D29,"AAAAAHs3bnQ=")</f>
        <v>#VALUE!</v>
      </c>
      <c r="DN6" t="e">
        <f>AND(锻造几率!E29,"AAAAAHs3bnU=")</f>
        <v>#VALUE!</v>
      </c>
      <c r="DO6">
        <f>IF(锻造几率!30:30,"AAAAAHs3bnY=",0)</f>
        <v>0</v>
      </c>
      <c r="DP6" t="e">
        <f>AND(锻造几率!A30,"AAAAAHs3bnc=")</f>
        <v>#VALUE!</v>
      </c>
      <c r="DQ6" t="e">
        <f>AND(锻造几率!B30,"AAAAAHs3bng=")</f>
        <v>#VALUE!</v>
      </c>
      <c r="DR6" t="e">
        <f>AND(锻造几率!C30,"AAAAAHs3bnk=")</f>
        <v>#VALUE!</v>
      </c>
      <c r="DS6" t="e">
        <f>AND(锻造几率!D30,"AAAAAHs3bno=")</f>
        <v>#VALUE!</v>
      </c>
      <c r="DT6" t="e">
        <f>AND(锻造几率!E30,"AAAAAHs3bns=")</f>
        <v>#VALUE!</v>
      </c>
      <c r="DU6">
        <f>IF(锻造几率!31:31,"AAAAAHs3bnw=",0)</f>
        <v>0</v>
      </c>
      <c r="DV6" t="e">
        <f>AND(锻造几率!A31,"AAAAAHs3bn0=")</f>
        <v>#VALUE!</v>
      </c>
      <c r="DW6" t="e">
        <f>AND(锻造几率!B31,"AAAAAHs3bn4=")</f>
        <v>#VALUE!</v>
      </c>
      <c r="DX6" t="e">
        <f>AND(锻造几率!C31,"AAAAAHs3bn8=")</f>
        <v>#VALUE!</v>
      </c>
      <c r="DY6" t="e">
        <f>AND(锻造几率!D31,"AAAAAHs3boA=")</f>
        <v>#VALUE!</v>
      </c>
      <c r="DZ6" t="e">
        <f>AND(锻造几率!E31,"AAAAAHs3boE=")</f>
        <v>#VALUE!</v>
      </c>
      <c r="EA6">
        <f>IF(锻造几率!32:32,"AAAAAHs3boI=",0)</f>
        <v>0</v>
      </c>
      <c r="EB6" t="e">
        <f>AND(锻造几率!A32,"AAAAAHs3boM=")</f>
        <v>#VALUE!</v>
      </c>
      <c r="EC6" t="e">
        <f>AND(锻造几率!B32,"AAAAAHs3boQ=")</f>
        <v>#VALUE!</v>
      </c>
      <c r="ED6" t="e">
        <f>AND(锻造几率!C32,"AAAAAHs3boU=")</f>
        <v>#VALUE!</v>
      </c>
      <c r="EE6" t="e">
        <f>AND(锻造几率!D32,"AAAAAHs3boY=")</f>
        <v>#VALUE!</v>
      </c>
      <c r="EF6" t="e">
        <f>AND(锻造几率!E32,"AAAAAHs3boc=")</f>
        <v>#VALUE!</v>
      </c>
      <c r="EG6">
        <f>IF(锻造几率!33:33,"AAAAAHs3bog=",0)</f>
        <v>0</v>
      </c>
      <c r="EH6" t="e">
        <f>AND(锻造几率!A33,"AAAAAHs3bok=")</f>
        <v>#VALUE!</v>
      </c>
      <c r="EI6" t="e">
        <f>AND(锻造几率!B33,"AAAAAHs3boo=")</f>
        <v>#VALUE!</v>
      </c>
      <c r="EJ6" t="e">
        <f>AND(锻造几率!C33,"AAAAAHs3bos=")</f>
        <v>#VALUE!</v>
      </c>
      <c r="EK6" t="e">
        <f>AND(锻造几率!D33,"AAAAAHs3bow=")</f>
        <v>#VALUE!</v>
      </c>
      <c r="EL6" t="e">
        <f>AND(锻造几率!E33,"AAAAAHs3bo0=")</f>
        <v>#VALUE!</v>
      </c>
      <c r="EM6">
        <f>IF(锻造几率!34:34,"AAAAAHs3bo4=",0)</f>
        <v>0</v>
      </c>
      <c r="EN6" t="e">
        <f>AND(锻造几率!A34,"AAAAAHs3bo8=")</f>
        <v>#VALUE!</v>
      </c>
      <c r="EO6" t="e">
        <f>AND(锻造几率!B34,"AAAAAHs3bpA=")</f>
        <v>#VALUE!</v>
      </c>
      <c r="EP6" t="e">
        <f>AND(锻造几率!C34,"AAAAAHs3bpE=")</f>
        <v>#VALUE!</v>
      </c>
      <c r="EQ6" t="e">
        <f>AND(锻造几率!D34,"AAAAAHs3bpI=")</f>
        <v>#VALUE!</v>
      </c>
      <c r="ER6" t="e">
        <f>AND(锻造几率!E34,"AAAAAHs3bpM=")</f>
        <v>#VALUE!</v>
      </c>
      <c r="ES6">
        <f>IF(锻造几率!35:35,"AAAAAHs3bpQ=",0)</f>
        <v>0</v>
      </c>
      <c r="ET6" t="e">
        <f>AND(锻造几率!A35,"AAAAAHs3bpU=")</f>
        <v>#VALUE!</v>
      </c>
      <c r="EU6" t="e">
        <f>AND(锻造几率!B35,"AAAAAHs3bpY=")</f>
        <v>#VALUE!</v>
      </c>
      <c r="EV6" t="e">
        <f>AND(锻造几率!C35,"AAAAAHs3bpc=")</f>
        <v>#VALUE!</v>
      </c>
      <c r="EW6" t="e">
        <f>AND(锻造几率!D35,"AAAAAHs3bpg=")</f>
        <v>#VALUE!</v>
      </c>
      <c r="EX6" t="e">
        <f>AND(锻造几率!E35,"AAAAAHs3bpk=")</f>
        <v>#VALUE!</v>
      </c>
      <c r="EY6">
        <f>IF(锻造几率!36:36,"AAAAAHs3bpo=",0)</f>
        <v>0</v>
      </c>
      <c r="EZ6" t="e">
        <f>AND(锻造几率!A36,"AAAAAHs3bps=")</f>
        <v>#VALUE!</v>
      </c>
      <c r="FA6" t="e">
        <f>AND(锻造几率!B36,"AAAAAHs3bpw=")</f>
        <v>#VALUE!</v>
      </c>
      <c r="FB6" t="e">
        <f>AND(锻造几率!C36,"AAAAAHs3bp0=")</f>
        <v>#VALUE!</v>
      </c>
      <c r="FC6" t="e">
        <f>AND(锻造几率!D36,"AAAAAHs3bp4=")</f>
        <v>#VALUE!</v>
      </c>
      <c r="FD6" t="e">
        <f>AND(锻造几率!E36,"AAAAAHs3bp8=")</f>
        <v>#VALUE!</v>
      </c>
      <c r="FE6">
        <f>IF(锻造几率!37:37,"AAAAAHs3bqA=",0)</f>
        <v>0</v>
      </c>
      <c r="FF6" t="e">
        <f>AND(锻造几率!A37,"AAAAAHs3bqE=")</f>
        <v>#VALUE!</v>
      </c>
      <c r="FG6" t="e">
        <f>AND(锻造几率!B37,"AAAAAHs3bqI=")</f>
        <v>#VALUE!</v>
      </c>
      <c r="FH6" t="e">
        <f>AND(锻造几率!C37,"AAAAAHs3bqM=")</f>
        <v>#VALUE!</v>
      </c>
      <c r="FI6" t="e">
        <f>AND(锻造几率!D37,"AAAAAHs3bqQ=")</f>
        <v>#VALUE!</v>
      </c>
      <c r="FJ6" t="e">
        <f>AND(锻造几率!E37,"AAAAAHs3bqU=")</f>
        <v>#VALUE!</v>
      </c>
      <c r="FK6">
        <f>IF(锻造几率!38:38,"AAAAAHs3bqY=",0)</f>
        <v>0</v>
      </c>
      <c r="FL6" t="e">
        <f>AND(锻造几率!A38,"AAAAAHs3bqc=")</f>
        <v>#VALUE!</v>
      </c>
      <c r="FM6" t="e">
        <f>AND(锻造几率!B38,"AAAAAHs3bqg=")</f>
        <v>#VALUE!</v>
      </c>
      <c r="FN6" t="e">
        <f>AND(锻造几率!C38,"AAAAAHs3bqk=")</f>
        <v>#VALUE!</v>
      </c>
      <c r="FO6" t="e">
        <f>AND(锻造几率!D38,"AAAAAHs3bqo=")</f>
        <v>#VALUE!</v>
      </c>
      <c r="FP6" t="e">
        <f>AND(锻造几率!E38,"AAAAAHs3bqs=")</f>
        <v>#VALUE!</v>
      </c>
      <c r="FQ6">
        <f>IF(锻造几率!39:39,"AAAAAHs3bqw=",0)</f>
        <v>0</v>
      </c>
      <c r="FR6" t="e">
        <f>AND(锻造几率!A39,"AAAAAHs3bq0=")</f>
        <v>#VALUE!</v>
      </c>
      <c r="FS6" t="e">
        <f>AND(锻造几率!B39,"AAAAAHs3bq4=")</f>
        <v>#VALUE!</v>
      </c>
      <c r="FT6" t="e">
        <f>AND(锻造几率!C39,"AAAAAHs3bq8=")</f>
        <v>#VALUE!</v>
      </c>
      <c r="FU6" t="e">
        <f>AND(锻造几率!D39,"AAAAAHs3brA=")</f>
        <v>#VALUE!</v>
      </c>
      <c r="FV6" t="e">
        <f>AND(锻造几率!E39,"AAAAAHs3brE=")</f>
        <v>#VALUE!</v>
      </c>
      <c r="FW6">
        <f>IF(锻造几率!40:40,"AAAAAHs3brI=",0)</f>
        <v>0</v>
      </c>
      <c r="FX6" t="e">
        <f>AND(锻造几率!A40,"AAAAAHs3brM=")</f>
        <v>#VALUE!</v>
      </c>
      <c r="FY6" t="e">
        <f>AND(锻造几率!B40,"AAAAAHs3brQ=")</f>
        <v>#VALUE!</v>
      </c>
      <c r="FZ6" t="e">
        <f>AND(锻造几率!C40,"AAAAAHs3brU=")</f>
        <v>#VALUE!</v>
      </c>
      <c r="GA6" t="e">
        <f>AND(锻造几率!D40,"AAAAAHs3brY=")</f>
        <v>#VALUE!</v>
      </c>
      <c r="GB6" t="e">
        <f>AND(锻造几率!E40,"AAAAAHs3brc=")</f>
        <v>#VALUE!</v>
      </c>
      <c r="GC6">
        <f>IF(锻造几率!41:41,"AAAAAHs3brg=",0)</f>
        <v>0</v>
      </c>
      <c r="GD6" t="e">
        <f>AND(锻造几率!A41,"AAAAAHs3brk=")</f>
        <v>#VALUE!</v>
      </c>
      <c r="GE6" t="e">
        <f>AND(锻造几率!B41,"AAAAAHs3bro=")</f>
        <v>#VALUE!</v>
      </c>
      <c r="GF6" t="e">
        <f>AND(锻造几率!C41,"AAAAAHs3brs=")</f>
        <v>#VALUE!</v>
      </c>
      <c r="GG6" t="e">
        <f>AND(锻造几率!D41,"AAAAAHs3brw=")</f>
        <v>#VALUE!</v>
      </c>
      <c r="GH6" t="e">
        <f>AND(锻造几率!E41,"AAAAAHs3br0=")</f>
        <v>#VALUE!</v>
      </c>
      <c r="GI6">
        <f>IF(锻造几率!42:42,"AAAAAHs3br4=",0)</f>
        <v>0</v>
      </c>
      <c r="GJ6" t="e">
        <f>AND(锻造几率!A42,"AAAAAHs3br8=")</f>
        <v>#VALUE!</v>
      </c>
      <c r="GK6" t="e">
        <f>AND(锻造几率!B42,"AAAAAHs3bsA=")</f>
        <v>#VALUE!</v>
      </c>
      <c r="GL6" t="e">
        <f>AND(锻造几率!C42,"AAAAAHs3bsE=")</f>
        <v>#VALUE!</v>
      </c>
      <c r="GM6" t="e">
        <f>AND(锻造几率!D42,"AAAAAHs3bsI=")</f>
        <v>#VALUE!</v>
      </c>
      <c r="GN6" t="e">
        <f>AND(锻造几率!E42,"AAAAAHs3bsM=")</f>
        <v>#VALUE!</v>
      </c>
      <c r="GO6">
        <f>IF(锻造几率!43:43,"AAAAAHs3bsQ=",0)</f>
        <v>0</v>
      </c>
      <c r="GP6" t="e">
        <f>AND(锻造几率!A43,"AAAAAHs3bsU=")</f>
        <v>#VALUE!</v>
      </c>
      <c r="GQ6" t="e">
        <f>AND(锻造几率!B43,"AAAAAHs3bsY=")</f>
        <v>#VALUE!</v>
      </c>
      <c r="GR6" t="e">
        <f>AND(锻造几率!C43,"AAAAAHs3bsc=")</f>
        <v>#VALUE!</v>
      </c>
      <c r="GS6" t="e">
        <f>AND(锻造几率!D43,"AAAAAHs3bsg=")</f>
        <v>#VALUE!</v>
      </c>
      <c r="GT6" t="e">
        <f>AND(锻造几率!E43,"AAAAAHs3bsk=")</f>
        <v>#VALUE!</v>
      </c>
      <c r="GU6">
        <f>IF(锻造几率!44:44,"AAAAAHs3bso=",0)</f>
        <v>0</v>
      </c>
      <c r="GV6" t="e">
        <f>AND(锻造几率!A44,"AAAAAHs3bss=")</f>
        <v>#VALUE!</v>
      </c>
      <c r="GW6" t="e">
        <f>AND(锻造几率!B44,"AAAAAHs3bsw=")</f>
        <v>#VALUE!</v>
      </c>
      <c r="GX6" t="e">
        <f>AND(锻造几率!C44,"AAAAAHs3bs0=")</f>
        <v>#VALUE!</v>
      </c>
      <c r="GY6" t="e">
        <f>AND(锻造几率!D44,"AAAAAHs3bs4=")</f>
        <v>#VALUE!</v>
      </c>
      <c r="GZ6" t="e">
        <f>AND(锻造几率!E44,"AAAAAHs3bs8=")</f>
        <v>#VALUE!</v>
      </c>
      <c r="HA6">
        <f>IF(锻造几率!45:45,"AAAAAHs3btA=",0)</f>
        <v>0</v>
      </c>
      <c r="HB6" t="e">
        <f>AND(锻造几率!A45,"AAAAAHs3btE=")</f>
        <v>#VALUE!</v>
      </c>
      <c r="HC6" t="e">
        <f>AND(锻造几率!B45,"AAAAAHs3btI=")</f>
        <v>#VALUE!</v>
      </c>
      <c r="HD6" t="e">
        <f>AND(锻造几率!C45,"AAAAAHs3btM=")</f>
        <v>#VALUE!</v>
      </c>
      <c r="HE6" t="e">
        <f>AND(锻造几率!D45,"AAAAAHs3btQ=")</f>
        <v>#VALUE!</v>
      </c>
      <c r="HF6" t="e">
        <f>AND(锻造几率!E45,"AAAAAHs3btU=")</f>
        <v>#VALUE!</v>
      </c>
      <c r="HG6">
        <f>IF(锻造几率!46:46,"AAAAAHs3btY=",0)</f>
        <v>0</v>
      </c>
      <c r="HH6" t="e">
        <f>AND(锻造几率!A46,"AAAAAHs3btc=")</f>
        <v>#VALUE!</v>
      </c>
      <c r="HI6" t="e">
        <f>AND(锻造几率!B46,"AAAAAHs3btg=")</f>
        <v>#VALUE!</v>
      </c>
      <c r="HJ6" t="e">
        <f>AND(锻造几率!C46,"AAAAAHs3btk=")</f>
        <v>#VALUE!</v>
      </c>
      <c r="HK6" t="e">
        <f>AND(锻造几率!D46,"AAAAAHs3bto=")</f>
        <v>#VALUE!</v>
      </c>
      <c r="HL6" t="e">
        <f>AND(锻造几率!E46,"AAAAAHs3bts=")</f>
        <v>#VALUE!</v>
      </c>
      <c r="HM6">
        <f>IF(锻造几率!47:47,"AAAAAHs3btw=",0)</f>
        <v>0</v>
      </c>
      <c r="HN6" t="e">
        <f>AND(锻造几率!A47,"AAAAAHs3bt0=")</f>
        <v>#VALUE!</v>
      </c>
      <c r="HO6" t="e">
        <f>AND(锻造几率!B47,"AAAAAHs3bt4=")</f>
        <v>#VALUE!</v>
      </c>
      <c r="HP6" t="e">
        <f>AND(锻造几率!C47,"AAAAAHs3bt8=")</f>
        <v>#VALUE!</v>
      </c>
      <c r="HQ6" t="e">
        <f>AND(锻造几率!D47,"AAAAAHs3buA=")</f>
        <v>#VALUE!</v>
      </c>
      <c r="HR6" t="e">
        <f>AND(锻造几率!E47,"AAAAAHs3buE=")</f>
        <v>#VALUE!</v>
      </c>
      <c r="HS6">
        <f>IF(锻造几率!48:48,"AAAAAHs3buI=",0)</f>
        <v>0</v>
      </c>
      <c r="HT6" t="e">
        <f>AND(锻造几率!A48,"AAAAAHs3buM=")</f>
        <v>#VALUE!</v>
      </c>
      <c r="HU6" t="e">
        <f>AND(锻造几率!B48,"AAAAAHs3buQ=")</f>
        <v>#VALUE!</v>
      </c>
      <c r="HV6" t="e">
        <f>AND(锻造几率!C48,"AAAAAHs3buU=")</f>
        <v>#VALUE!</v>
      </c>
      <c r="HW6" t="e">
        <f>AND(锻造几率!D48,"AAAAAHs3buY=")</f>
        <v>#VALUE!</v>
      </c>
      <c r="HX6" t="e">
        <f>AND(锻造几率!E48,"AAAAAHs3buc=")</f>
        <v>#VALUE!</v>
      </c>
      <c r="HY6">
        <f>IF(锻造几率!49:49,"AAAAAHs3bug=",0)</f>
        <v>0</v>
      </c>
      <c r="HZ6" t="e">
        <f>AND(锻造几率!A49,"AAAAAHs3buk=")</f>
        <v>#VALUE!</v>
      </c>
      <c r="IA6" t="e">
        <f>AND(锻造几率!B49,"AAAAAHs3buo=")</f>
        <v>#VALUE!</v>
      </c>
      <c r="IB6" t="e">
        <f>AND(锻造几率!C49,"AAAAAHs3bus=")</f>
        <v>#VALUE!</v>
      </c>
      <c r="IC6" t="e">
        <f>AND(锻造几率!D49,"AAAAAHs3buw=")</f>
        <v>#VALUE!</v>
      </c>
      <c r="ID6" t="e">
        <f>AND(锻造几率!E49,"AAAAAHs3bu0=")</f>
        <v>#VALUE!</v>
      </c>
      <c r="IE6">
        <f>IF(锻造几率!50:50,"AAAAAHs3bu4=",0)</f>
        <v>0</v>
      </c>
      <c r="IF6" t="e">
        <f>AND(锻造几率!A50,"AAAAAHs3bu8=")</f>
        <v>#VALUE!</v>
      </c>
      <c r="IG6" t="e">
        <f>AND(锻造几率!B50,"AAAAAHs3bvA=")</f>
        <v>#VALUE!</v>
      </c>
      <c r="IH6" t="e">
        <f>AND(锻造几率!C50,"AAAAAHs3bvE=")</f>
        <v>#VALUE!</v>
      </c>
      <c r="II6" t="e">
        <f>AND(锻造几率!D50,"AAAAAHs3bvI=")</f>
        <v>#VALUE!</v>
      </c>
      <c r="IJ6" t="e">
        <f>AND(锻造几率!E50,"AAAAAHs3bvM=")</f>
        <v>#VALUE!</v>
      </c>
      <c r="IK6">
        <f>IF(锻造几率!51:51,"AAAAAHs3bvQ=",0)</f>
        <v>0</v>
      </c>
      <c r="IL6" t="e">
        <f>AND(锻造几率!A51,"AAAAAHs3bvU=")</f>
        <v>#VALUE!</v>
      </c>
      <c r="IM6" t="e">
        <f>AND(锻造几率!B51,"AAAAAHs3bvY=")</f>
        <v>#VALUE!</v>
      </c>
      <c r="IN6" t="e">
        <f>AND(锻造几率!C51,"AAAAAHs3bvc=")</f>
        <v>#VALUE!</v>
      </c>
      <c r="IO6" t="e">
        <f>AND(锻造几率!D51,"AAAAAHs3bvg=")</f>
        <v>#VALUE!</v>
      </c>
      <c r="IP6" t="e">
        <f>AND(锻造几率!E51,"AAAAAHs3bvk=")</f>
        <v>#VALUE!</v>
      </c>
      <c r="IQ6">
        <f>IF(锻造几率!52:52,"AAAAAHs3bvo=",0)</f>
        <v>0</v>
      </c>
      <c r="IR6" t="e">
        <f>AND(锻造几率!A52,"AAAAAHs3bvs=")</f>
        <v>#VALUE!</v>
      </c>
      <c r="IS6" t="e">
        <f>AND(锻造几率!B52,"AAAAAHs3bvw=")</f>
        <v>#VALUE!</v>
      </c>
      <c r="IT6" t="e">
        <f>AND(锻造几率!C52,"AAAAAHs3bv0=")</f>
        <v>#VALUE!</v>
      </c>
      <c r="IU6" t="e">
        <f>AND(锻造几率!D52,"AAAAAHs3bv4=")</f>
        <v>#VALUE!</v>
      </c>
      <c r="IV6" t="e">
        <f>AND(锻造几率!E52,"AAAAAHs3bv8=")</f>
        <v>#VALUE!</v>
      </c>
    </row>
    <row r="7" spans="1:256">
      <c r="A7" t="e">
        <f>IF(锻造几率!53:53,"AAAAAHf/eQA=",0)</f>
        <v>#VALUE!</v>
      </c>
      <c r="B7" t="e">
        <f>AND(锻造几率!A53,"AAAAAHf/eQE=")</f>
        <v>#VALUE!</v>
      </c>
      <c r="C7" t="e">
        <f>AND(锻造几率!B53,"AAAAAHf/eQI=")</f>
        <v>#VALUE!</v>
      </c>
      <c r="D7" t="e">
        <f>AND(锻造几率!C53,"AAAAAHf/eQM=")</f>
        <v>#VALUE!</v>
      </c>
      <c r="E7" t="e">
        <f>AND(锻造几率!D53,"AAAAAHf/eQQ=")</f>
        <v>#VALUE!</v>
      </c>
      <c r="F7" t="e">
        <f>AND(锻造几率!E53,"AAAAAHf/eQU=")</f>
        <v>#VALUE!</v>
      </c>
      <c r="G7">
        <f>IF(锻造几率!54:54,"AAAAAHf/eQY=",0)</f>
        <v>0</v>
      </c>
      <c r="H7" t="e">
        <f>AND(锻造几率!A54,"AAAAAHf/eQc=")</f>
        <v>#VALUE!</v>
      </c>
      <c r="I7" t="e">
        <f>AND(锻造几率!B54,"AAAAAHf/eQg=")</f>
        <v>#VALUE!</v>
      </c>
      <c r="J7" t="e">
        <f>AND(锻造几率!C54,"AAAAAHf/eQk=")</f>
        <v>#VALUE!</v>
      </c>
      <c r="K7" t="e">
        <f>AND(锻造几率!D54,"AAAAAHf/eQo=")</f>
        <v>#VALUE!</v>
      </c>
      <c r="L7" t="e">
        <f>AND(锻造几率!E54,"AAAAAHf/eQs=")</f>
        <v>#VALUE!</v>
      </c>
      <c r="M7">
        <f>IF(锻造几率!55:55,"AAAAAHf/eQw=",0)</f>
        <v>0</v>
      </c>
      <c r="N7" t="e">
        <f>AND(锻造几率!A55,"AAAAAHf/eQ0=")</f>
        <v>#VALUE!</v>
      </c>
      <c r="O7" t="e">
        <f>AND(锻造几率!B55,"AAAAAHf/eQ4=")</f>
        <v>#VALUE!</v>
      </c>
      <c r="P7" t="e">
        <f>AND(锻造几率!C55,"AAAAAHf/eQ8=")</f>
        <v>#VALUE!</v>
      </c>
      <c r="Q7" t="e">
        <f>AND(锻造几率!D55,"AAAAAHf/eRA=")</f>
        <v>#VALUE!</v>
      </c>
      <c r="R7" t="e">
        <f>AND(锻造几率!E55,"AAAAAHf/eRE=")</f>
        <v>#VALUE!</v>
      </c>
      <c r="S7">
        <f>IF(锻造几率!56:56,"AAAAAHf/eRI=",0)</f>
        <v>0</v>
      </c>
      <c r="T7" t="e">
        <f>AND(锻造几率!A56,"AAAAAHf/eRM=")</f>
        <v>#VALUE!</v>
      </c>
      <c r="U7" t="e">
        <f>AND(锻造几率!B56,"AAAAAHf/eRQ=")</f>
        <v>#VALUE!</v>
      </c>
      <c r="V7" t="e">
        <f>AND(锻造几率!C56,"AAAAAHf/eRU=")</f>
        <v>#VALUE!</v>
      </c>
      <c r="W7" t="e">
        <f>AND(锻造几率!D56,"AAAAAHf/eRY=")</f>
        <v>#VALUE!</v>
      </c>
      <c r="X7" t="e">
        <f>AND(锻造几率!E56,"AAAAAHf/eRc=")</f>
        <v>#VALUE!</v>
      </c>
      <c r="Y7">
        <f>IF(锻造几率!57:57,"AAAAAHf/eRg=",0)</f>
        <v>0</v>
      </c>
      <c r="Z7" t="e">
        <f>AND(锻造几率!A57,"AAAAAHf/eRk=")</f>
        <v>#VALUE!</v>
      </c>
      <c r="AA7" t="e">
        <f>AND(锻造几率!B57,"AAAAAHf/eRo=")</f>
        <v>#VALUE!</v>
      </c>
      <c r="AB7" t="e">
        <f>AND(锻造几率!C57,"AAAAAHf/eRs=")</f>
        <v>#VALUE!</v>
      </c>
      <c r="AC7" t="e">
        <f>AND(锻造几率!D57,"AAAAAHf/eRw=")</f>
        <v>#VALUE!</v>
      </c>
      <c r="AD7" t="e">
        <f>AND(锻造几率!E57,"AAAAAHf/eR0=")</f>
        <v>#VALUE!</v>
      </c>
      <c r="AE7">
        <f>IF(锻造几率!58:58,"AAAAAHf/eR4=",0)</f>
        <v>0</v>
      </c>
      <c r="AF7" t="e">
        <f>AND(锻造几率!A58,"AAAAAHf/eR8=")</f>
        <v>#VALUE!</v>
      </c>
      <c r="AG7" t="e">
        <f>AND(锻造几率!B58,"AAAAAHf/eSA=")</f>
        <v>#VALUE!</v>
      </c>
      <c r="AH7" t="e">
        <f>AND(锻造几率!C58,"AAAAAHf/eSE=")</f>
        <v>#VALUE!</v>
      </c>
      <c r="AI7" t="e">
        <f>AND(锻造几率!D58,"AAAAAHf/eSI=")</f>
        <v>#VALUE!</v>
      </c>
      <c r="AJ7" t="e">
        <f>AND(锻造几率!E58,"AAAAAHf/eSM=")</f>
        <v>#VALUE!</v>
      </c>
      <c r="AK7">
        <f>IF(锻造几率!59:59,"AAAAAHf/eSQ=",0)</f>
        <v>0</v>
      </c>
      <c r="AL7" t="e">
        <f>AND(锻造几率!A59,"AAAAAHf/eSU=")</f>
        <v>#VALUE!</v>
      </c>
      <c r="AM7" t="e">
        <f>AND(锻造几率!B59,"AAAAAHf/eSY=")</f>
        <v>#VALUE!</v>
      </c>
      <c r="AN7" t="e">
        <f>AND(锻造几率!C59,"AAAAAHf/eSc=")</f>
        <v>#VALUE!</v>
      </c>
      <c r="AO7" t="e">
        <f>AND(锻造几率!D59,"AAAAAHf/eSg=")</f>
        <v>#VALUE!</v>
      </c>
      <c r="AP7" t="e">
        <f>AND(锻造几率!E59,"AAAAAHf/eSk=")</f>
        <v>#VALUE!</v>
      </c>
      <c r="AQ7">
        <f>IF(锻造几率!60:60,"AAAAAHf/eSo=",0)</f>
        <v>0</v>
      </c>
      <c r="AR7" t="e">
        <f>AND(锻造几率!A60,"AAAAAHf/eSs=")</f>
        <v>#VALUE!</v>
      </c>
      <c r="AS7" t="e">
        <f>AND(锻造几率!B60,"AAAAAHf/eSw=")</f>
        <v>#VALUE!</v>
      </c>
      <c r="AT7" t="e">
        <f>AND(锻造几率!C60,"AAAAAHf/eS0=")</f>
        <v>#VALUE!</v>
      </c>
      <c r="AU7" t="e">
        <f>AND(锻造几率!D60,"AAAAAHf/eS4=")</f>
        <v>#VALUE!</v>
      </c>
      <c r="AV7" t="e">
        <f>AND(锻造几率!E60,"AAAAAHf/eS8=")</f>
        <v>#VALUE!</v>
      </c>
      <c r="AW7">
        <f>IF(锻造几率!61:61,"AAAAAHf/eTA=",0)</f>
        <v>0</v>
      </c>
      <c r="AX7" t="e">
        <f>AND(锻造几率!A61,"AAAAAHf/eTE=")</f>
        <v>#VALUE!</v>
      </c>
      <c r="AY7" t="e">
        <f>AND(锻造几率!B61,"AAAAAHf/eTI=")</f>
        <v>#VALUE!</v>
      </c>
      <c r="AZ7" t="e">
        <f>AND(锻造几率!C61,"AAAAAHf/eTM=")</f>
        <v>#VALUE!</v>
      </c>
      <c r="BA7" t="e">
        <f>AND(锻造几率!D61,"AAAAAHf/eTQ=")</f>
        <v>#VALUE!</v>
      </c>
      <c r="BB7" t="e">
        <f>AND(锻造几率!E61,"AAAAAHf/eTU=")</f>
        <v>#VALUE!</v>
      </c>
      <c r="BC7">
        <f>IF(锻造几率!62:62,"AAAAAHf/eTY=",0)</f>
        <v>0</v>
      </c>
      <c r="BD7" t="e">
        <f>AND(锻造几率!A62,"AAAAAHf/eTc=")</f>
        <v>#VALUE!</v>
      </c>
      <c r="BE7" t="e">
        <f>AND(锻造几率!B62,"AAAAAHf/eTg=")</f>
        <v>#VALUE!</v>
      </c>
      <c r="BF7" t="e">
        <f>AND(锻造几率!C62,"AAAAAHf/eTk=")</f>
        <v>#VALUE!</v>
      </c>
      <c r="BG7" t="e">
        <f>AND(锻造几率!D62,"AAAAAHf/eTo=")</f>
        <v>#VALUE!</v>
      </c>
      <c r="BH7" t="e">
        <f>AND(锻造几率!E62,"AAAAAHf/eTs=")</f>
        <v>#VALUE!</v>
      </c>
      <c r="BI7">
        <f>IF(锻造几率!63:63,"AAAAAHf/eTw=",0)</f>
        <v>0</v>
      </c>
      <c r="BJ7" t="e">
        <f>AND(锻造几率!A63,"AAAAAHf/eT0=")</f>
        <v>#VALUE!</v>
      </c>
      <c r="BK7" t="e">
        <f>AND(锻造几率!B63,"AAAAAHf/eT4=")</f>
        <v>#VALUE!</v>
      </c>
      <c r="BL7" t="e">
        <f>AND(锻造几率!C63,"AAAAAHf/eT8=")</f>
        <v>#VALUE!</v>
      </c>
      <c r="BM7" t="e">
        <f>AND(锻造几率!D63,"AAAAAHf/eUA=")</f>
        <v>#VALUE!</v>
      </c>
      <c r="BN7" t="e">
        <f>AND(锻造几率!E63,"AAAAAHf/eUE=")</f>
        <v>#VALUE!</v>
      </c>
      <c r="BO7">
        <f>IF(锻造几率!64:64,"AAAAAHf/eUI=",0)</f>
        <v>0</v>
      </c>
      <c r="BP7" t="e">
        <f>AND(锻造几率!A64,"AAAAAHf/eUM=")</f>
        <v>#VALUE!</v>
      </c>
      <c r="BQ7" t="e">
        <f>AND(锻造几率!B64,"AAAAAHf/eUQ=")</f>
        <v>#VALUE!</v>
      </c>
      <c r="BR7" t="e">
        <f>AND(锻造几率!C64,"AAAAAHf/eUU=")</f>
        <v>#VALUE!</v>
      </c>
      <c r="BS7" t="e">
        <f>AND(锻造几率!D64,"AAAAAHf/eUY=")</f>
        <v>#VALUE!</v>
      </c>
      <c r="BT7" t="e">
        <f>AND(锻造几率!E64,"AAAAAHf/eUc=")</f>
        <v>#VALUE!</v>
      </c>
      <c r="BU7">
        <f>IF(锻造几率!65:65,"AAAAAHf/eUg=",0)</f>
        <v>0</v>
      </c>
      <c r="BV7" t="e">
        <f>AND(锻造几率!A65,"AAAAAHf/eUk=")</f>
        <v>#VALUE!</v>
      </c>
      <c r="BW7" t="e">
        <f>AND(锻造几率!B65,"AAAAAHf/eUo=")</f>
        <v>#VALUE!</v>
      </c>
      <c r="BX7" t="e">
        <f>AND(锻造几率!C65,"AAAAAHf/eUs=")</f>
        <v>#VALUE!</v>
      </c>
      <c r="BY7" t="e">
        <f>AND(锻造几率!D65,"AAAAAHf/eUw=")</f>
        <v>#VALUE!</v>
      </c>
      <c r="BZ7" t="e">
        <f>AND(锻造几率!E65,"AAAAAHf/eU0=")</f>
        <v>#VALUE!</v>
      </c>
      <c r="CA7">
        <f>IF(锻造几率!66:66,"AAAAAHf/eU4=",0)</f>
        <v>0</v>
      </c>
      <c r="CB7" t="e">
        <f>AND(锻造几率!A66,"AAAAAHf/eU8=")</f>
        <v>#VALUE!</v>
      </c>
      <c r="CC7" t="e">
        <f>AND(锻造几率!B66,"AAAAAHf/eVA=")</f>
        <v>#VALUE!</v>
      </c>
      <c r="CD7" t="e">
        <f>AND(锻造几率!C66,"AAAAAHf/eVE=")</f>
        <v>#VALUE!</v>
      </c>
      <c r="CE7" t="e">
        <f>AND(锻造几率!D66,"AAAAAHf/eVI=")</f>
        <v>#VALUE!</v>
      </c>
      <c r="CF7" t="e">
        <f>AND(锻造几率!E66,"AAAAAHf/eVM=")</f>
        <v>#VALUE!</v>
      </c>
      <c r="CG7">
        <f>IF(锻造几率!67:67,"AAAAAHf/eVQ=",0)</f>
        <v>0</v>
      </c>
      <c r="CH7" t="e">
        <f>AND(锻造几率!A67,"AAAAAHf/eVU=")</f>
        <v>#VALUE!</v>
      </c>
      <c r="CI7" t="e">
        <f>AND(锻造几率!B67,"AAAAAHf/eVY=")</f>
        <v>#VALUE!</v>
      </c>
      <c r="CJ7" t="e">
        <f>AND(锻造几率!C67,"AAAAAHf/eVc=")</f>
        <v>#VALUE!</v>
      </c>
      <c r="CK7" t="e">
        <f>AND(锻造几率!D67,"AAAAAHf/eVg=")</f>
        <v>#VALUE!</v>
      </c>
      <c r="CL7" t="e">
        <f>AND(锻造几率!E67,"AAAAAHf/eVk=")</f>
        <v>#VALUE!</v>
      </c>
      <c r="CM7">
        <f>IF(锻造几率!68:68,"AAAAAHf/eVo=",0)</f>
        <v>0</v>
      </c>
      <c r="CN7" t="e">
        <f>AND(锻造几率!A68,"AAAAAHf/eVs=")</f>
        <v>#VALUE!</v>
      </c>
      <c r="CO7" t="e">
        <f>AND(锻造几率!B68,"AAAAAHf/eVw=")</f>
        <v>#VALUE!</v>
      </c>
      <c r="CP7" t="e">
        <f>AND(锻造几率!C68,"AAAAAHf/eV0=")</f>
        <v>#VALUE!</v>
      </c>
      <c r="CQ7" t="e">
        <f>AND(锻造几率!D68,"AAAAAHf/eV4=")</f>
        <v>#VALUE!</v>
      </c>
      <c r="CR7" t="e">
        <f>AND(锻造几率!E68,"AAAAAHf/eV8=")</f>
        <v>#VALUE!</v>
      </c>
      <c r="CS7">
        <f>IF(锻造几率!69:69,"AAAAAHf/eWA=",0)</f>
        <v>0</v>
      </c>
      <c r="CT7" t="e">
        <f>AND(锻造几率!A69,"AAAAAHf/eWE=")</f>
        <v>#VALUE!</v>
      </c>
      <c r="CU7" t="e">
        <f>AND(锻造几率!B69,"AAAAAHf/eWI=")</f>
        <v>#VALUE!</v>
      </c>
      <c r="CV7" t="e">
        <f>AND(锻造几率!C69,"AAAAAHf/eWM=")</f>
        <v>#VALUE!</v>
      </c>
      <c r="CW7" t="e">
        <f>AND(锻造几率!D69,"AAAAAHf/eWQ=")</f>
        <v>#VALUE!</v>
      </c>
      <c r="CX7" t="e">
        <f>AND(锻造几率!E69,"AAAAAHf/eWU=")</f>
        <v>#VALUE!</v>
      </c>
      <c r="CY7">
        <f>IF(锻造几率!70:70,"AAAAAHf/eWY=",0)</f>
        <v>0</v>
      </c>
      <c r="CZ7" t="e">
        <f>AND(锻造几率!A70,"AAAAAHf/eWc=")</f>
        <v>#VALUE!</v>
      </c>
      <c r="DA7" t="e">
        <f>AND(锻造几率!B70,"AAAAAHf/eWg=")</f>
        <v>#VALUE!</v>
      </c>
      <c r="DB7" t="e">
        <f>AND(锻造几率!C70,"AAAAAHf/eWk=")</f>
        <v>#VALUE!</v>
      </c>
      <c r="DC7" t="e">
        <f>AND(锻造几率!D70,"AAAAAHf/eWo=")</f>
        <v>#VALUE!</v>
      </c>
      <c r="DD7" t="e">
        <f>AND(锻造几率!E70,"AAAAAHf/eWs=")</f>
        <v>#VALUE!</v>
      </c>
      <c r="DE7">
        <f>IF(锻造几率!71:71,"AAAAAHf/eWw=",0)</f>
        <v>0</v>
      </c>
      <c r="DF7" t="e">
        <f>AND(锻造几率!A71,"AAAAAHf/eW0=")</f>
        <v>#VALUE!</v>
      </c>
      <c r="DG7" t="e">
        <f>AND(锻造几率!B71,"AAAAAHf/eW4=")</f>
        <v>#VALUE!</v>
      </c>
      <c r="DH7" t="e">
        <f>AND(锻造几率!C71,"AAAAAHf/eW8=")</f>
        <v>#VALUE!</v>
      </c>
      <c r="DI7" t="e">
        <f>AND(锻造几率!D71,"AAAAAHf/eXA=")</f>
        <v>#VALUE!</v>
      </c>
      <c r="DJ7" t="e">
        <f>AND(锻造几率!E71,"AAAAAHf/eXE=")</f>
        <v>#VALUE!</v>
      </c>
      <c r="DK7">
        <f>IF(锻造几率!72:72,"AAAAAHf/eXI=",0)</f>
        <v>0</v>
      </c>
      <c r="DL7" t="e">
        <f>AND(锻造几率!A72,"AAAAAHf/eXM=")</f>
        <v>#VALUE!</v>
      </c>
      <c r="DM7" t="e">
        <f>AND(锻造几率!B72,"AAAAAHf/eXQ=")</f>
        <v>#VALUE!</v>
      </c>
      <c r="DN7" t="e">
        <f>AND(锻造几率!C72,"AAAAAHf/eXU=")</f>
        <v>#VALUE!</v>
      </c>
      <c r="DO7" t="e">
        <f>AND(锻造几率!D72,"AAAAAHf/eXY=")</f>
        <v>#VALUE!</v>
      </c>
      <c r="DP7" t="e">
        <f>AND(锻造几率!E72,"AAAAAHf/eXc=")</f>
        <v>#VALUE!</v>
      </c>
      <c r="DQ7">
        <f>IF(锻造几率!73:73,"AAAAAHf/eXg=",0)</f>
        <v>0</v>
      </c>
      <c r="DR7" t="e">
        <f>AND(锻造几率!A73,"AAAAAHf/eXk=")</f>
        <v>#VALUE!</v>
      </c>
      <c r="DS7" t="e">
        <f>AND(锻造几率!B73,"AAAAAHf/eXo=")</f>
        <v>#VALUE!</v>
      </c>
      <c r="DT7" t="e">
        <f>AND(锻造几率!C73,"AAAAAHf/eXs=")</f>
        <v>#VALUE!</v>
      </c>
      <c r="DU7" t="e">
        <f>AND(锻造几率!D73,"AAAAAHf/eXw=")</f>
        <v>#VALUE!</v>
      </c>
      <c r="DV7" t="e">
        <f>AND(锻造几率!E73,"AAAAAHf/eX0=")</f>
        <v>#VALUE!</v>
      </c>
      <c r="DW7">
        <f>IF(锻造几率!74:74,"AAAAAHf/eX4=",0)</f>
        <v>0</v>
      </c>
      <c r="DX7" t="e">
        <f>AND(锻造几率!A74,"AAAAAHf/eX8=")</f>
        <v>#VALUE!</v>
      </c>
      <c r="DY7" t="e">
        <f>AND(锻造几率!B74,"AAAAAHf/eYA=")</f>
        <v>#VALUE!</v>
      </c>
      <c r="DZ7" t="e">
        <f>AND(锻造几率!C74,"AAAAAHf/eYE=")</f>
        <v>#VALUE!</v>
      </c>
      <c r="EA7" t="e">
        <f>AND(锻造几率!D74,"AAAAAHf/eYI=")</f>
        <v>#VALUE!</v>
      </c>
      <c r="EB7" t="e">
        <f>AND(锻造几率!E74,"AAAAAHf/eYM=")</f>
        <v>#VALUE!</v>
      </c>
      <c r="EC7">
        <f>IF(锻造几率!75:75,"AAAAAHf/eYQ=",0)</f>
        <v>0</v>
      </c>
      <c r="ED7" t="e">
        <f>AND(锻造几率!A75,"AAAAAHf/eYU=")</f>
        <v>#VALUE!</v>
      </c>
      <c r="EE7" t="e">
        <f>AND(锻造几率!B75,"AAAAAHf/eYY=")</f>
        <v>#VALUE!</v>
      </c>
      <c r="EF7" t="e">
        <f>AND(锻造几率!C75,"AAAAAHf/eYc=")</f>
        <v>#VALUE!</v>
      </c>
      <c r="EG7" t="e">
        <f>AND(锻造几率!D75,"AAAAAHf/eYg=")</f>
        <v>#VALUE!</v>
      </c>
      <c r="EH7" t="e">
        <f>AND(锻造几率!E75,"AAAAAHf/eYk=")</f>
        <v>#VALUE!</v>
      </c>
      <c r="EI7">
        <f>IF(锻造几率!76:76,"AAAAAHf/eYo=",0)</f>
        <v>0</v>
      </c>
      <c r="EJ7" t="e">
        <f>AND(锻造几率!A76,"AAAAAHf/eYs=")</f>
        <v>#VALUE!</v>
      </c>
      <c r="EK7" t="e">
        <f>AND(锻造几率!B76,"AAAAAHf/eYw=")</f>
        <v>#VALUE!</v>
      </c>
      <c r="EL7" t="e">
        <f>AND(锻造几率!C76,"AAAAAHf/eY0=")</f>
        <v>#VALUE!</v>
      </c>
      <c r="EM7" t="e">
        <f>AND(锻造几率!D76,"AAAAAHf/eY4=")</f>
        <v>#VALUE!</v>
      </c>
      <c r="EN7" t="e">
        <f>AND(锻造几率!E76,"AAAAAHf/eY8=")</f>
        <v>#VALUE!</v>
      </c>
      <c r="EO7">
        <f>IF(锻造几率!77:77,"AAAAAHf/eZA=",0)</f>
        <v>0</v>
      </c>
      <c r="EP7" t="e">
        <f>AND(锻造几率!A77,"AAAAAHf/eZE=")</f>
        <v>#VALUE!</v>
      </c>
      <c r="EQ7" t="e">
        <f>AND(锻造几率!B77,"AAAAAHf/eZI=")</f>
        <v>#VALUE!</v>
      </c>
      <c r="ER7" t="e">
        <f>AND(锻造几率!C77,"AAAAAHf/eZM=")</f>
        <v>#VALUE!</v>
      </c>
      <c r="ES7" t="e">
        <f>AND(锻造几率!D77,"AAAAAHf/eZQ=")</f>
        <v>#VALUE!</v>
      </c>
      <c r="ET7" t="e">
        <f>AND(锻造几率!E77,"AAAAAHf/eZU=")</f>
        <v>#VALUE!</v>
      </c>
      <c r="EU7">
        <f>IF(锻造几率!78:78,"AAAAAHf/eZY=",0)</f>
        <v>0</v>
      </c>
      <c r="EV7" t="e">
        <f>AND(锻造几率!A78,"AAAAAHf/eZc=")</f>
        <v>#VALUE!</v>
      </c>
      <c r="EW7" t="e">
        <f>AND(锻造几率!B78,"AAAAAHf/eZg=")</f>
        <v>#VALUE!</v>
      </c>
      <c r="EX7" t="e">
        <f>AND(锻造几率!C78,"AAAAAHf/eZk=")</f>
        <v>#VALUE!</v>
      </c>
      <c r="EY7" t="e">
        <f>AND(锻造几率!D78,"AAAAAHf/eZo=")</f>
        <v>#VALUE!</v>
      </c>
      <c r="EZ7" t="e">
        <f>AND(锻造几率!E78,"AAAAAHf/eZs=")</f>
        <v>#VALUE!</v>
      </c>
      <c r="FA7">
        <f>IF(锻造几率!79:79,"AAAAAHf/eZw=",0)</f>
        <v>0</v>
      </c>
      <c r="FB7" t="e">
        <f>AND(锻造几率!A79,"AAAAAHf/eZ0=")</f>
        <v>#VALUE!</v>
      </c>
      <c r="FC7" t="e">
        <f>AND(锻造几率!B79,"AAAAAHf/eZ4=")</f>
        <v>#VALUE!</v>
      </c>
      <c r="FD7" t="e">
        <f>AND(锻造几率!C79,"AAAAAHf/eZ8=")</f>
        <v>#VALUE!</v>
      </c>
      <c r="FE7" t="e">
        <f>AND(锻造几率!D79,"AAAAAHf/eaA=")</f>
        <v>#VALUE!</v>
      </c>
      <c r="FF7" t="e">
        <f>AND(锻造几率!E79,"AAAAAHf/eaE=")</f>
        <v>#VALUE!</v>
      </c>
      <c r="FG7">
        <f>IF(锻造几率!80:80,"AAAAAHf/eaI=",0)</f>
        <v>0</v>
      </c>
      <c r="FH7" t="e">
        <f>AND(锻造几率!A80,"AAAAAHf/eaM=")</f>
        <v>#VALUE!</v>
      </c>
      <c r="FI7" t="e">
        <f>AND(锻造几率!B80,"AAAAAHf/eaQ=")</f>
        <v>#VALUE!</v>
      </c>
      <c r="FJ7" t="e">
        <f>AND(锻造几率!C80,"AAAAAHf/eaU=")</f>
        <v>#VALUE!</v>
      </c>
      <c r="FK7" t="e">
        <f>AND(锻造几率!D80,"AAAAAHf/eaY=")</f>
        <v>#VALUE!</v>
      </c>
      <c r="FL7" t="e">
        <f>AND(锻造几率!E80,"AAAAAHf/eac=")</f>
        <v>#VALUE!</v>
      </c>
      <c r="FM7">
        <f>IF(锻造几率!81:81,"AAAAAHf/eag=",0)</f>
        <v>0</v>
      </c>
      <c r="FN7" t="e">
        <f>AND(锻造几率!A81,"AAAAAHf/eak=")</f>
        <v>#VALUE!</v>
      </c>
      <c r="FO7" t="e">
        <f>AND(锻造几率!B81,"AAAAAHf/eao=")</f>
        <v>#VALUE!</v>
      </c>
      <c r="FP7" t="e">
        <f>AND(锻造几率!C81,"AAAAAHf/eas=")</f>
        <v>#VALUE!</v>
      </c>
      <c r="FQ7" t="e">
        <f>AND(锻造几率!D81,"AAAAAHf/eaw=")</f>
        <v>#VALUE!</v>
      </c>
      <c r="FR7" t="e">
        <f>AND(锻造几率!E81,"AAAAAHf/ea0=")</f>
        <v>#VALUE!</v>
      </c>
      <c r="FS7">
        <f>IF(锻造几率!82:82,"AAAAAHf/ea4=",0)</f>
        <v>0</v>
      </c>
      <c r="FT7" t="e">
        <f>AND(锻造几率!A82,"AAAAAHf/ea8=")</f>
        <v>#VALUE!</v>
      </c>
      <c r="FU7" t="e">
        <f>AND(锻造几率!B82,"AAAAAHf/ebA=")</f>
        <v>#VALUE!</v>
      </c>
      <c r="FV7" t="e">
        <f>AND(锻造几率!C82,"AAAAAHf/ebE=")</f>
        <v>#VALUE!</v>
      </c>
      <c r="FW7" t="e">
        <f>AND(锻造几率!D82,"AAAAAHf/ebI=")</f>
        <v>#VALUE!</v>
      </c>
      <c r="FX7" t="e">
        <f>AND(锻造几率!E82,"AAAAAHf/ebM=")</f>
        <v>#VALUE!</v>
      </c>
      <c r="FY7" t="e">
        <f>IF(锻造几率!A:A,"AAAAAHf/ebQ=",0)</f>
        <v>#VALUE!</v>
      </c>
      <c r="FZ7" t="str">
        <f>IF(锻造几率!B:B,"AAAAAHf/ebU=",0)</f>
        <v>AAAAAHf/ebU=</v>
      </c>
      <c r="GA7" t="str">
        <f>IF(锻造几率!C:C,"AAAAAHf/ebY=",0)</f>
        <v>AAAAAHf/ebY=</v>
      </c>
      <c r="GB7" t="str">
        <f>IF(锻造几率!D:D,"AAAAAHf/ebc=",0)</f>
        <v>AAAAAHf/ebc=</v>
      </c>
      <c r="GC7" t="str">
        <f>IF(锻造几率!E:E,"AAAAAHf/ebg=",0)</f>
        <v>AAAAAHf/ebg=</v>
      </c>
      <c r="GD7">
        <f>IF(建筑物!1:1,"AAAAAHf/ebk=",0)</f>
        <v>0</v>
      </c>
      <c r="GE7" t="e">
        <f>AND(建筑物!A1,"AAAAAHf/ebo=")</f>
        <v>#VALUE!</v>
      </c>
      <c r="GF7" t="e">
        <f>AND(建筑物!B1,"AAAAAHf/ebs=")</f>
        <v>#VALUE!</v>
      </c>
      <c r="GG7" t="e">
        <f>AND(建筑物!C1,"AAAAAHf/ebw=")</f>
        <v>#VALUE!</v>
      </c>
      <c r="GH7" t="e">
        <f>AND(建筑物!D1,"AAAAAHf/eb0=")</f>
        <v>#VALUE!</v>
      </c>
      <c r="GI7" t="e">
        <f>AND(建筑物!E1,"AAAAAHf/eb4=")</f>
        <v>#VALUE!</v>
      </c>
      <c r="GJ7" t="e">
        <f>AND(建筑物!F1,"AAAAAHf/eb8=")</f>
        <v>#VALUE!</v>
      </c>
      <c r="GK7" t="e">
        <f>AND(建筑物!G1,"AAAAAHf/ecA=")</f>
        <v>#VALUE!</v>
      </c>
      <c r="GL7" t="e">
        <f>AND(建筑物!H1,"AAAAAHf/ecE=")</f>
        <v>#VALUE!</v>
      </c>
      <c r="GM7">
        <f>IF(建筑物!2:2,"AAAAAHf/ecI=",0)</f>
        <v>0</v>
      </c>
      <c r="GN7" t="e">
        <f>AND(建筑物!A2,"AAAAAHf/ecM=")</f>
        <v>#VALUE!</v>
      </c>
      <c r="GO7" t="e">
        <f>AND(建筑物!B2,"AAAAAHf/ecQ=")</f>
        <v>#VALUE!</v>
      </c>
      <c r="GP7" t="e">
        <f>AND(建筑物!C2,"AAAAAHf/ecU=")</f>
        <v>#VALUE!</v>
      </c>
      <c r="GQ7" t="e">
        <f>AND(建筑物!D2,"AAAAAHf/ecY=")</f>
        <v>#VALUE!</v>
      </c>
      <c r="GR7" t="e">
        <f>AND(建筑物!E2,"AAAAAHf/ecc=")</f>
        <v>#VALUE!</v>
      </c>
      <c r="GS7" t="e">
        <f>AND(建筑物!F2,"AAAAAHf/ecg=")</f>
        <v>#VALUE!</v>
      </c>
      <c r="GT7" t="e">
        <f>AND(建筑物!G2,"AAAAAHf/eck=")</f>
        <v>#VALUE!</v>
      </c>
      <c r="GU7">
        <f>IF(建筑物!3:3,"AAAAAHf/eco=",0)</f>
        <v>0</v>
      </c>
      <c r="GV7" t="e">
        <f>AND(建筑物!A3,"AAAAAHf/ecs=")</f>
        <v>#VALUE!</v>
      </c>
      <c r="GW7" t="e">
        <f>AND(建筑物!B3,"AAAAAHf/ecw=")</f>
        <v>#VALUE!</v>
      </c>
      <c r="GX7" t="e">
        <f>AND(建筑物!C3,"AAAAAHf/ec0=")</f>
        <v>#VALUE!</v>
      </c>
      <c r="GY7" t="e">
        <f>AND(建筑物!D3,"AAAAAHf/ec4=")</f>
        <v>#VALUE!</v>
      </c>
      <c r="GZ7" t="e">
        <f>AND(建筑物!E3,"AAAAAHf/ec8=")</f>
        <v>#VALUE!</v>
      </c>
      <c r="HA7" t="e">
        <f>AND(建筑物!F3,"AAAAAHf/edA=")</f>
        <v>#VALUE!</v>
      </c>
      <c r="HB7" t="e">
        <f>AND(建筑物!G3,"AAAAAHf/edE=")</f>
        <v>#VALUE!</v>
      </c>
      <c r="HC7">
        <f>IF(建筑物!4:4,"AAAAAHf/edI=",0)</f>
        <v>0</v>
      </c>
      <c r="HD7" t="e">
        <f>AND(建筑物!A4,"AAAAAHf/edM=")</f>
        <v>#VALUE!</v>
      </c>
      <c r="HE7" t="e">
        <f>AND(建筑物!B4,"AAAAAHf/edQ=")</f>
        <v>#VALUE!</v>
      </c>
      <c r="HF7" t="e">
        <f>AND(建筑物!C4,"AAAAAHf/edU=")</f>
        <v>#VALUE!</v>
      </c>
      <c r="HG7" t="e">
        <f>AND(建筑物!D4,"AAAAAHf/edY=")</f>
        <v>#VALUE!</v>
      </c>
      <c r="HH7" t="e">
        <f>AND(建筑物!E4,"AAAAAHf/edc=")</f>
        <v>#VALUE!</v>
      </c>
      <c r="HI7" t="e">
        <f>AND(建筑物!F4,"AAAAAHf/edg=")</f>
        <v>#VALUE!</v>
      </c>
      <c r="HJ7" t="e">
        <f>AND(建筑物!G4,"AAAAAHf/edk=")</f>
        <v>#VALUE!</v>
      </c>
      <c r="HK7">
        <f>IF(建筑物!5:5,"AAAAAHf/edo=",0)</f>
        <v>0</v>
      </c>
      <c r="HL7" t="e">
        <f>AND(建筑物!A5,"AAAAAHf/eds=")</f>
        <v>#VALUE!</v>
      </c>
      <c r="HM7" t="e">
        <f>AND(建筑物!B5,"AAAAAHf/edw=")</f>
        <v>#VALUE!</v>
      </c>
      <c r="HN7" t="e">
        <f>AND(建筑物!C5,"AAAAAHf/ed0=")</f>
        <v>#VALUE!</v>
      </c>
      <c r="HO7" t="e">
        <f>AND(建筑物!D5,"AAAAAHf/ed4=")</f>
        <v>#VALUE!</v>
      </c>
      <c r="HP7" t="e">
        <f>AND(建筑物!E5,"AAAAAHf/ed8=")</f>
        <v>#VALUE!</v>
      </c>
      <c r="HQ7" t="e">
        <f>AND(建筑物!F5,"AAAAAHf/eeA=")</f>
        <v>#VALUE!</v>
      </c>
      <c r="HR7" t="e">
        <f>AND(建筑物!G5,"AAAAAHf/eeE=")</f>
        <v>#VALUE!</v>
      </c>
      <c r="HS7">
        <f>IF(建筑物!6:6,"AAAAAHf/eeI=",0)</f>
        <v>0</v>
      </c>
      <c r="HT7" t="e">
        <f>AND(建筑物!A6,"AAAAAHf/eeM=")</f>
        <v>#VALUE!</v>
      </c>
      <c r="HU7" t="e">
        <f>AND(建筑物!B6,"AAAAAHf/eeQ=")</f>
        <v>#VALUE!</v>
      </c>
      <c r="HV7" t="e">
        <f>AND(建筑物!C6,"AAAAAHf/eeU=")</f>
        <v>#VALUE!</v>
      </c>
      <c r="HW7" t="e">
        <f>AND(建筑物!D6,"AAAAAHf/eeY=")</f>
        <v>#VALUE!</v>
      </c>
      <c r="HX7" t="e">
        <f>AND(建筑物!E6,"AAAAAHf/eec=")</f>
        <v>#VALUE!</v>
      </c>
      <c r="HY7" t="e">
        <f>AND(建筑物!F6,"AAAAAHf/eeg=")</f>
        <v>#VALUE!</v>
      </c>
      <c r="HZ7" t="e">
        <f>AND(建筑物!G6,"AAAAAHf/eek=")</f>
        <v>#VALUE!</v>
      </c>
      <c r="IA7">
        <f>IF(建筑物!7:7,"AAAAAHf/eeo=",0)</f>
        <v>0</v>
      </c>
      <c r="IB7" t="e">
        <f>AND(建筑物!A7,"AAAAAHf/ees=")</f>
        <v>#VALUE!</v>
      </c>
      <c r="IC7" t="e">
        <f>AND(建筑物!B7,"AAAAAHf/eew=")</f>
        <v>#VALUE!</v>
      </c>
      <c r="ID7" t="e">
        <f>AND(建筑物!C7,"AAAAAHf/ee0=")</f>
        <v>#VALUE!</v>
      </c>
      <c r="IE7" t="e">
        <f>AND(建筑物!D7,"AAAAAHf/ee4=")</f>
        <v>#VALUE!</v>
      </c>
      <c r="IF7" t="e">
        <f>AND(建筑物!E7,"AAAAAHf/ee8=")</f>
        <v>#VALUE!</v>
      </c>
      <c r="IG7" t="e">
        <f>AND(建筑物!F7,"AAAAAHf/efA=")</f>
        <v>#VALUE!</v>
      </c>
      <c r="IH7" t="e">
        <f>AND(建筑物!G7,"AAAAAHf/efE=")</f>
        <v>#VALUE!</v>
      </c>
      <c r="II7">
        <f>IF(建筑物!8:8,"AAAAAHf/efI=",0)</f>
        <v>0</v>
      </c>
      <c r="IJ7" t="e">
        <f>AND(建筑物!A8,"AAAAAHf/efM=")</f>
        <v>#VALUE!</v>
      </c>
      <c r="IK7" t="e">
        <f>AND(建筑物!B8,"AAAAAHf/efQ=")</f>
        <v>#VALUE!</v>
      </c>
      <c r="IL7" t="e">
        <f>AND(建筑物!C8,"AAAAAHf/efU=")</f>
        <v>#VALUE!</v>
      </c>
      <c r="IM7" t="e">
        <f>AND(建筑物!D8,"AAAAAHf/efY=")</f>
        <v>#VALUE!</v>
      </c>
      <c r="IN7" t="e">
        <f>AND(建筑物!E8,"AAAAAHf/efc=")</f>
        <v>#VALUE!</v>
      </c>
      <c r="IO7" t="e">
        <f>AND(建筑物!F8,"AAAAAHf/efg=")</f>
        <v>#VALUE!</v>
      </c>
      <c r="IP7" t="e">
        <f>AND(建筑物!G8,"AAAAAHf/efk=")</f>
        <v>#VALUE!</v>
      </c>
      <c r="IQ7">
        <f>IF(建筑物!9:9,"AAAAAHf/efo=",0)</f>
        <v>0</v>
      </c>
      <c r="IR7" t="e">
        <f>AND(建筑物!A9,"AAAAAHf/efs=")</f>
        <v>#VALUE!</v>
      </c>
      <c r="IS7" t="e">
        <f>AND(建筑物!B9,"AAAAAHf/efw=")</f>
        <v>#VALUE!</v>
      </c>
      <c r="IT7" t="e">
        <f>AND(建筑物!C9,"AAAAAHf/ef0=")</f>
        <v>#VALUE!</v>
      </c>
      <c r="IU7" t="e">
        <f>AND(建筑物!D9,"AAAAAHf/ef4=")</f>
        <v>#VALUE!</v>
      </c>
      <c r="IV7" t="e">
        <f>AND(建筑物!E9,"AAAAAHf/ef8=")</f>
        <v>#VALUE!</v>
      </c>
    </row>
    <row r="8" spans="1:256">
      <c r="A8" t="e">
        <f>AND(建筑物!F9,"AAAAAFb3dgA=")</f>
        <v>#VALUE!</v>
      </c>
      <c r="B8" t="e">
        <f>AND(建筑物!G9,"AAAAAFb3dgE=")</f>
        <v>#VALUE!</v>
      </c>
      <c r="C8" t="str">
        <f>IF(建筑物!10:10,"AAAAAFb3dgI=",0)</f>
        <v>AAAAAFb3dgI=</v>
      </c>
      <c r="D8" t="e">
        <f>AND(建筑物!A10,"AAAAAFb3dgM=")</f>
        <v>#VALUE!</v>
      </c>
      <c r="E8" t="e">
        <f>AND(建筑物!B10,"AAAAAFb3dgQ=")</f>
        <v>#VALUE!</v>
      </c>
      <c r="F8" t="e">
        <f>AND(建筑物!C10,"AAAAAFb3dgU=")</f>
        <v>#VALUE!</v>
      </c>
      <c r="G8" t="e">
        <f>AND(建筑物!D10,"AAAAAFb3dgY=")</f>
        <v>#VALUE!</v>
      </c>
      <c r="H8" t="e">
        <f>AND(建筑物!E10,"AAAAAFb3dgc=")</f>
        <v>#VALUE!</v>
      </c>
      <c r="I8" t="e">
        <f>AND(建筑物!F10,"AAAAAFb3dgg=")</f>
        <v>#VALUE!</v>
      </c>
      <c r="J8" t="e">
        <f>AND(建筑物!G10,"AAAAAFb3dgk=")</f>
        <v>#VALUE!</v>
      </c>
      <c r="K8">
        <f>IF(建筑物!11:11,"AAAAAFb3dgo=",0)</f>
        <v>0</v>
      </c>
      <c r="L8" t="e">
        <f>AND(建筑物!A11,"AAAAAFb3dgs=")</f>
        <v>#VALUE!</v>
      </c>
      <c r="M8" t="e">
        <f>AND(建筑物!B11,"AAAAAFb3dgw=")</f>
        <v>#VALUE!</v>
      </c>
      <c r="N8" t="e">
        <f>AND(建筑物!C11,"AAAAAFb3dg0=")</f>
        <v>#VALUE!</v>
      </c>
      <c r="O8" t="e">
        <f>AND(建筑物!D11,"AAAAAFb3dg4=")</f>
        <v>#VALUE!</v>
      </c>
      <c r="P8" t="e">
        <f>AND(建筑物!E11,"AAAAAFb3dg8=")</f>
        <v>#VALUE!</v>
      </c>
      <c r="Q8" t="e">
        <f>AND(建筑物!F11,"AAAAAFb3dhA=")</f>
        <v>#VALUE!</v>
      </c>
      <c r="R8" t="e">
        <f>AND(建筑物!G11,"AAAAAFb3dhE=")</f>
        <v>#VALUE!</v>
      </c>
      <c r="S8">
        <f>IF(建筑物!12:12,"AAAAAFb3dhI=",0)</f>
        <v>0</v>
      </c>
      <c r="T8" t="e">
        <f>AND(建筑物!A12,"AAAAAFb3dhM=")</f>
        <v>#VALUE!</v>
      </c>
      <c r="U8" t="e">
        <f>AND(建筑物!B12,"AAAAAFb3dhQ=")</f>
        <v>#VALUE!</v>
      </c>
      <c r="V8" t="e">
        <f>AND(建筑物!C12,"AAAAAFb3dhU=")</f>
        <v>#VALUE!</v>
      </c>
      <c r="W8" t="e">
        <f>AND(建筑物!D12,"AAAAAFb3dhY=")</f>
        <v>#VALUE!</v>
      </c>
      <c r="X8" t="e">
        <f>AND(建筑物!E12,"AAAAAFb3dhc=")</f>
        <v>#VALUE!</v>
      </c>
      <c r="Y8" t="e">
        <f>AND(建筑物!F12,"AAAAAFb3dhg=")</f>
        <v>#VALUE!</v>
      </c>
      <c r="Z8" t="e">
        <f>AND(建筑物!G12,"AAAAAFb3dhk=")</f>
        <v>#VALUE!</v>
      </c>
      <c r="AA8">
        <f>IF(建筑物!13:13,"AAAAAFb3dho=",0)</f>
        <v>0</v>
      </c>
      <c r="AB8" t="e">
        <f>AND(建筑物!A13,"AAAAAFb3dhs=")</f>
        <v>#VALUE!</v>
      </c>
      <c r="AC8" t="e">
        <f>AND(建筑物!B13,"AAAAAFb3dhw=")</f>
        <v>#VALUE!</v>
      </c>
      <c r="AD8" t="e">
        <f>AND(建筑物!C13,"AAAAAFb3dh0=")</f>
        <v>#VALUE!</v>
      </c>
      <c r="AE8" t="e">
        <f>AND(建筑物!D13,"AAAAAFb3dh4=")</f>
        <v>#VALUE!</v>
      </c>
      <c r="AF8" t="e">
        <f>AND(建筑物!E13,"AAAAAFb3dh8=")</f>
        <v>#VALUE!</v>
      </c>
      <c r="AG8" t="e">
        <f>AND(建筑物!F13,"AAAAAFb3diA=")</f>
        <v>#VALUE!</v>
      </c>
      <c r="AH8" t="e">
        <f>AND(建筑物!G13,"AAAAAFb3diE=")</f>
        <v>#VALUE!</v>
      </c>
      <c r="AI8">
        <f>IF(建筑物!14:14,"AAAAAFb3diI=",0)</f>
        <v>0</v>
      </c>
      <c r="AJ8" t="e">
        <f>AND(建筑物!A14,"AAAAAFb3diM=")</f>
        <v>#VALUE!</v>
      </c>
      <c r="AK8" t="e">
        <f>AND(建筑物!B14,"AAAAAFb3diQ=")</f>
        <v>#VALUE!</v>
      </c>
      <c r="AL8" t="e">
        <f>AND(建筑物!C14,"AAAAAFb3diU=")</f>
        <v>#VALUE!</v>
      </c>
      <c r="AM8" t="e">
        <f>AND(建筑物!D14,"AAAAAFb3diY=")</f>
        <v>#VALUE!</v>
      </c>
      <c r="AN8" t="e">
        <f>AND(建筑物!E14,"AAAAAFb3dic=")</f>
        <v>#VALUE!</v>
      </c>
      <c r="AO8" t="e">
        <f>AND(建筑物!F14,"AAAAAFb3dig=")</f>
        <v>#VALUE!</v>
      </c>
      <c r="AP8" t="e">
        <f>AND(建筑物!G14,"AAAAAFb3dik=")</f>
        <v>#VALUE!</v>
      </c>
      <c r="AQ8">
        <f>IF(建筑物!15:15,"AAAAAFb3dio=",0)</f>
        <v>0</v>
      </c>
      <c r="AR8" t="e">
        <f>AND(建筑物!A15,"AAAAAFb3dis=")</f>
        <v>#VALUE!</v>
      </c>
      <c r="AS8" t="e">
        <f>AND(建筑物!B15,"AAAAAFb3diw=")</f>
        <v>#VALUE!</v>
      </c>
      <c r="AT8" t="e">
        <f>AND(建筑物!C15,"AAAAAFb3di0=")</f>
        <v>#VALUE!</v>
      </c>
      <c r="AU8" t="e">
        <f>AND(建筑物!D15,"AAAAAFb3di4=")</f>
        <v>#VALUE!</v>
      </c>
      <c r="AV8" t="e">
        <f>AND(建筑物!E15,"AAAAAFb3di8=")</f>
        <v>#VALUE!</v>
      </c>
      <c r="AW8" t="e">
        <f>AND(建筑物!F15,"AAAAAFb3djA=")</f>
        <v>#VALUE!</v>
      </c>
      <c r="AX8" t="e">
        <f>AND(建筑物!G15,"AAAAAFb3djE=")</f>
        <v>#VALUE!</v>
      </c>
      <c r="AY8">
        <f>IF(建筑物!16:16,"AAAAAFb3djI=",0)</f>
        <v>0</v>
      </c>
      <c r="AZ8" t="e">
        <f>AND(建筑物!A16,"AAAAAFb3djM=")</f>
        <v>#VALUE!</v>
      </c>
      <c r="BA8" t="e">
        <f>AND(建筑物!B16,"AAAAAFb3djQ=")</f>
        <v>#VALUE!</v>
      </c>
      <c r="BB8" t="e">
        <f>AND(建筑物!C16,"AAAAAFb3djU=")</f>
        <v>#VALUE!</v>
      </c>
      <c r="BC8" t="e">
        <f>AND(建筑物!D16,"AAAAAFb3djY=")</f>
        <v>#VALUE!</v>
      </c>
      <c r="BD8" t="e">
        <f>AND(建筑物!E16,"AAAAAFb3djc=")</f>
        <v>#VALUE!</v>
      </c>
      <c r="BE8" t="e">
        <f>AND(建筑物!F16,"AAAAAFb3djg=")</f>
        <v>#VALUE!</v>
      </c>
      <c r="BF8" t="e">
        <f>AND(建筑物!G16,"AAAAAFb3djk=")</f>
        <v>#VALUE!</v>
      </c>
      <c r="BG8">
        <f>IF(建筑物!17:17,"AAAAAFb3djo=",0)</f>
        <v>0</v>
      </c>
      <c r="BH8" t="e">
        <f>AND(建筑物!A17,"AAAAAFb3djs=")</f>
        <v>#VALUE!</v>
      </c>
      <c r="BI8" t="e">
        <f>AND(建筑物!B17,"AAAAAFb3djw=")</f>
        <v>#VALUE!</v>
      </c>
      <c r="BJ8" t="e">
        <f>AND(建筑物!C17,"AAAAAFb3dj0=")</f>
        <v>#VALUE!</v>
      </c>
      <c r="BK8" t="e">
        <f>AND(建筑物!D17,"AAAAAFb3dj4=")</f>
        <v>#VALUE!</v>
      </c>
      <c r="BL8" t="e">
        <f>AND(建筑物!E17,"AAAAAFb3dj8=")</f>
        <v>#VALUE!</v>
      </c>
      <c r="BM8" t="e">
        <f>AND(建筑物!F17,"AAAAAFb3dkA=")</f>
        <v>#VALUE!</v>
      </c>
      <c r="BN8" t="e">
        <f>AND(建筑物!G17,"AAAAAFb3dkE=")</f>
        <v>#VALUE!</v>
      </c>
      <c r="BO8">
        <f>IF(建筑物!18:18,"AAAAAFb3dkI=",0)</f>
        <v>0</v>
      </c>
      <c r="BP8" t="e">
        <f>AND(建筑物!A18,"AAAAAFb3dkM=")</f>
        <v>#VALUE!</v>
      </c>
      <c r="BQ8" t="e">
        <f>AND(建筑物!B18,"AAAAAFb3dkQ=")</f>
        <v>#VALUE!</v>
      </c>
      <c r="BR8" t="e">
        <f>AND(建筑物!C18,"AAAAAFb3dkU=")</f>
        <v>#VALUE!</v>
      </c>
      <c r="BS8" t="e">
        <f>AND(建筑物!D18,"AAAAAFb3dkY=")</f>
        <v>#VALUE!</v>
      </c>
      <c r="BT8" t="e">
        <f>AND(建筑物!E18,"AAAAAFb3dkc=")</f>
        <v>#VALUE!</v>
      </c>
      <c r="BU8" t="e">
        <f>AND(建筑物!F18,"AAAAAFb3dkg=")</f>
        <v>#VALUE!</v>
      </c>
      <c r="BV8" t="e">
        <f>AND(建筑物!G18,"AAAAAFb3dkk=")</f>
        <v>#VALUE!</v>
      </c>
      <c r="BW8">
        <f>IF(建筑物!19:19,"AAAAAFb3dko=",0)</f>
        <v>0</v>
      </c>
      <c r="BX8" t="e">
        <f>AND(建筑物!A19,"AAAAAFb3dks=")</f>
        <v>#VALUE!</v>
      </c>
      <c r="BY8" t="e">
        <f>AND(建筑物!B19,"AAAAAFb3dkw=")</f>
        <v>#VALUE!</v>
      </c>
      <c r="BZ8" t="e">
        <f>AND(建筑物!C19,"AAAAAFb3dk0=")</f>
        <v>#VALUE!</v>
      </c>
      <c r="CA8" t="e">
        <f>AND(建筑物!D19,"AAAAAFb3dk4=")</f>
        <v>#VALUE!</v>
      </c>
      <c r="CB8" t="e">
        <f>AND(建筑物!E19,"AAAAAFb3dk8=")</f>
        <v>#VALUE!</v>
      </c>
      <c r="CC8" t="e">
        <f>AND(建筑物!F19,"AAAAAFb3dlA=")</f>
        <v>#VALUE!</v>
      </c>
      <c r="CD8" t="e">
        <f>AND(建筑物!G19,"AAAAAFb3dlE=")</f>
        <v>#VALUE!</v>
      </c>
      <c r="CE8">
        <f>IF(建筑物!20:20,"AAAAAFb3dlI=",0)</f>
        <v>0</v>
      </c>
      <c r="CF8" t="e">
        <f>AND(建筑物!A20,"AAAAAFb3dlM=")</f>
        <v>#VALUE!</v>
      </c>
      <c r="CG8" t="e">
        <f>AND(建筑物!B20,"AAAAAFb3dlQ=")</f>
        <v>#VALUE!</v>
      </c>
      <c r="CH8" t="e">
        <f>AND(建筑物!C20,"AAAAAFb3dlU=")</f>
        <v>#VALUE!</v>
      </c>
      <c r="CI8" t="e">
        <f>AND(建筑物!D20,"AAAAAFb3dlY=")</f>
        <v>#VALUE!</v>
      </c>
      <c r="CJ8" t="e">
        <f>AND(建筑物!E20,"AAAAAFb3dlc=")</f>
        <v>#VALUE!</v>
      </c>
      <c r="CK8" t="e">
        <f>AND(建筑物!F20,"AAAAAFb3dlg=")</f>
        <v>#VALUE!</v>
      </c>
      <c r="CL8" t="e">
        <f>AND(建筑物!G20,"AAAAAFb3dlk=")</f>
        <v>#VALUE!</v>
      </c>
      <c r="CM8">
        <f>IF(建筑物!21:21,"AAAAAFb3dlo=",0)</f>
        <v>0</v>
      </c>
      <c r="CN8" t="e">
        <f>AND(建筑物!A21,"AAAAAFb3dls=")</f>
        <v>#VALUE!</v>
      </c>
      <c r="CO8" t="e">
        <f>AND(建筑物!B21,"AAAAAFb3dlw=")</f>
        <v>#VALUE!</v>
      </c>
      <c r="CP8" t="e">
        <f>AND(建筑物!C21,"AAAAAFb3dl0=")</f>
        <v>#VALUE!</v>
      </c>
      <c r="CQ8" t="e">
        <f>AND(建筑物!D21,"AAAAAFb3dl4=")</f>
        <v>#VALUE!</v>
      </c>
      <c r="CR8" t="e">
        <f>AND(建筑物!E21,"AAAAAFb3dl8=")</f>
        <v>#VALUE!</v>
      </c>
      <c r="CS8" t="e">
        <f>AND(建筑物!F21,"AAAAAFb3dmA=")</f>
        <v>#VALUE!</v>
      </c>
      <c r="CT8" t="e">
        <f>AND(建筑物!G21,"AAAAAFb3dmE=")</f>
        <v>#VALUE!</v>
      </c>
      <c r="CU8">
        <f>IF(建筑物!22:22,"AAAAAFb3dmI=",0)</f>
        <v>0</v>
      </c>
      <c r="CV8" t="e">
        <f>AND(建筑物!A22,"AAAAAFb3dmM=")</f>
        <v>#VALUE!</v>
      </c>
      <c r="CW8" t="e">
        <f>AND(建筑物!B22,"AAAAAFb3dmQ=")</f>
        <v>#VALUE!</v>
      </c>
      <c r="CX8" t="e">
        <f>AND(建筑物!C22,"AAAAAFb3dmU=")</f>
        <v>#VALUE!</v>
      </c>
      <c r="CY8" t="e">
        <f>AND(建筑物!D22,"AAAAAFb3dmY=")</f>
        <v>#VALUE!</v>
      </c>
      <c r="CZ8" t="e">
        <f>AND(建筑物!E22,"AAAAAFb3dmc=")</f>
        <v>#VALUE!</v>
      </c>
      <c r="DA8" t="e">
        <f>AND(建筑物!F22,"AAAAAFb3dmg=")</f>
        <v>#VALUE!</v>
      </c>
      <c r="DB8" t="e">
        <f>AND(建筑物!G22,"AAAAAFb3dmk=")</f>
        <v>#VALUE!</v>
      </c>
      <c r="DC8">
        <f>IF(建筑物!23:23,"AAAAAFb3dmo=",0)</f>
        <v>0</v>
      </c>
      <c r="DD8" t="e">
        <f>AND(建筑物!A23,"AAAAAFb3dms=")</f>
        <v>#VALUE!</v>
      </c>
      <c r="DE8" t="e">
        <f>AND(建筑物!B23,"AAAAAFb3dmw=")</f>
        <v>#VALUE!</v>
      </c>
      <c r="DF8" t="e">
        <f>AND(建筑物!C23,"AAAAAFb3dm0=")</f>
        <v>#VALUE!</v>
      </c>
      <c r="DG8" t="e">
        <f>AND(建筑物!D23,"AAAAAFb3dm4=")</f>
        <v>#VALUE!</v>
      </c>
      <c r="DH8" t="e">
        <f>AND(建筑物!E23,"AAAAAFb3dm8=")</f>
        <v>#VALUE!</v>
      </c>
      <c r="DI8" t="e">
        <f>AND(建筑物!F23,"AAAAAFb3dnA=")</f>
        <v>#VALUE!</v>
      </c>
      <c r="DJ8" t="e">
        <f>AND(建筑物!G23,"AAAAAFb3dnE=")</f>
        <v>#VALUE!</v>
      </c>
      <c r="DK8">
        <f>IF(建筑物!24:24,"AAAAAFb3dnI=",0)</f>
        <v>0</v>
      </c>
      <c r="DL8" t="e">
        <f>AND(建筑物!A24,"AAAAAFb3dnM=")</f>
        <v>#VALUE!</v>
      </c>
      <c r="DM8" t="e">
        <f>AND(建筑物!B24,"AAAAAFb3dnQ=")</f>
        <v>#VALUE!</v>
      </c>
      <c r="DN8" t="e">
        <f>AND(建筑物!C24,"AAAAAFb3dnU=")</f>
        <v>#VALUE!</v>
      </c>
      <c r="DO8" t="e">
        <f>AND(建筑物!D24,"AAAAAFb3dnY=")</f>
        <v>#VALUE!</v>
      </c>
      <c r="DP8" t="e">
        <f>AND(建筑物!E24,"AAAAAFb3dnc=")</f>
        <v>#VALUE!</v>
      </c>
      <c r="DQ8" t="e">
        <f>AND(建筑物!F24,"AAAAAFb3dng=")</f>
        <v>#VALUE!</v>
      </c>
      <c r="DR8" t="e">
        <f>AND(建筑物!G24,"AAAAAFb3dnk=")</f>
        <v>#VALUE!</v>
      </c>
      <c r="DS8">
        <f>IF(建筑物!25:25,"AAAAAFb3dno=",0)</f>
        <v>0</v>
      </c>
      <c r="DT8" t="e">
        <f>AND(建筑物!A25,"AAAAAFb3dns=")</f>
        <v>#VALUE!</v>
      </c>
      <c r="DU8" t="e">
        <f>AND(建筑物!B25,"AAAAAFb3dnw=")</f>
        <v>#VALUE!</v>
      </c>
      <c r="DV8" t="e">
        <f>AND(建筑物!C25,"AAAAAFb3dn0=")</f>
        <v>#VALUE!</v>
      </c>
      <c r="DW8" t="e">
        <f>AND(建筑物!D25,"AAAAAFb3dn4=")</f>
        <v>#VALUE!</v>
      </c>
      <c r="DX8" t="e">
        <f>AND(建筑物!E25,"AAAAAFb3dn8=")</f>
        <v>#VALUE!</v>
      </c>
      <c r="DY8" t="e">
        <f>AND(建筑物!F25,"AAAAAFb3doA=")</f>
        <v>#VALUE!</v>
      </c>
      <c r="DZ8" t="e">
        <f>AND(建筑物!G25,"AAAAAFb3doE=")</f>
        <v>#VALUE!</v>
      </c>
      <c r="EA8">
        <f>IF(建筑物!26:26,"AAAAAFb3doI=",0)</f>
        <v>0</v>
      </c>
      <c r="EB8" t="e">
        <f>AND(建筑物!A26,"AAAAAFb3doM=")</f>
        <v>#VALUE!</v>
      </c>
      <c r="EC8" t="e">
        <f>AND(建筑物!B26,"AAAAAFb3doQ=")</f>
        <v>#VALUE!</v>
      </c>
      <c r="ED8" t="e">
        <f>AND(建筑物!C26,"AAAAAFb3doU=")</f>
        <v>#VALUE!</v>
      </c>
      <c r="EE8" t="e">
        <f>AND(建筑物!D26,"AAAAAFb3doY=")</f>
        <v>#VALUE!</v>
      </c>
      <c r="EF8" t="e">
        <f>AND(建筑物!E26,"AAAAAFb3doc=")</f>
        <v>#VALUE!</v>
      </c>
      <c r="EG8" t="e">
        <f>AND(建筑物!F26,"AAAAAFb3dog=")</f>
        <v>#VALUE!</v>
      </c>
      <c r="EH8" t="e">
        <f>AND(建筑物!G26,"AAAAAFb3dok=")</f>
        <v>#VALUE!</v>
      </c>
      <c r="EI8">
        <f>IF(建筑物!27:27,"AAAAAFb3doo=",0)</f>
        <v>0</v>
      </c>
      <c r="EJ8" t="e">
        <f>AND(建筑物!A27,"AAAAAFb3dos=")</f>
        <v>#VALUE!</v>
      </c>
      <c r="EK8" t="e">
        <f>AND(建筑物!B27,"AAAAAFb3dow=")</f>
        <v>#VALUE!</v>
      </c>
      <c r="EL8" t="e">
        <f>AND(建筑物!C27,"AAAAAFb3do0=")</f>
        <v>#VALUE!</v>
      </c>
      <c r="EM8" t="e">
        <f>AND(建筑物!D27,"AAAAAFb3do4=")</f>
        <v>#VALUE!</v>
      </c>
      <c r="EN8" t="e">
        <f>AND(建筑物!E27,"AAAAAFb3do8=")</f>
        <v>#VALUE!</v>
      </c>
      <c r="EO8" t="e">
        <f>AND(建筑物!F27,"AAAAAFb3dpA=")</f>
        <v>#VALUE!</v>
      </c>
      <c r="EP8" t="e">
        <f>AND(建筑物!G27,"AAAAAFb3dpE=")</f>
        <v>#VALUE!</v>
      </c>
      <c r="EQ8">
        <f>IF(建筑物!28:28,"AAAAAFb3dpI=",0)</f>
        <v>0</v>
      </c>
      <c r="ER8" t="e">
        <f>AND(建筑物!A28,"AAAAAFb3dpM=")</f>
        <v>#VALUE!</v>
      </c>
      <c r="ES8" t="e">
        <f>AND(建筑物!B28,"AAAAAFb3dpQ=")</f>
        <v>#VALUE!</v>
      </c>
      <c r="ET8" t="e">
        <f>AND(建筑物!C28,"AAAAAFb3dpU=")</f>
        <v>#VALUE!</v>
      </c>
      <c r="EU8" t="e">
        <f>AND(建筑物!D28,"AAAAAFb3dpY=")</f>
        <v>#VALUE!</v>
      </c>
      <c r="EV8" t="e">
        <f>AND(建筑物!E28,"AAAAAFb3dpc=")</f>
        <v>#VALUE!</v>
      </c>
      <c r="EW8" t="e">
        <f>AND(建筑物!F28,"AAAAAFb3dpg=")</f>
        <v>#VALUE!</v>
      </c>
      <c r="EX8" t="e">
        <f>AND(建筑物!G28,"AAAAAFb3dpk=")</f>
        <v>#VALUE!</v>
      </c>
      <c r="EY8">
        <f>IF(建筑物!29:29,"AAAAAFb3dpo=",0)</f>
        <v>0</v>
      </c>
      <c r="EZ8" t="e">
        <f>AND(建筑物!A29,"AAAAAFb3dps=")</f>
        <v>#VALUE!</v>
      </c>
      <c r="FA8" t="e">
        <f>AND(建筑物!B29,"AAAAAFb3dpw=")</f>
        <v>#VALUE!</v>
      </c>
      <c r="FB8" t="e">
        <f>AND(建筑物!C29,"AAAAAFb3dp0=")</f>
        <v>#VALUE!</v>
      </c>
      <c r="FC8" t="e">
        <f>AND(建筑物!D29,"AAAAAFb3dp4=")</f>
        <v>#VALUE!</v>
      </c>
      <c r="FD8" t="e">
        <f>AND(建筑物!E29,"AAAAAFb3dp8=")</f>
        <v>#VALUE!</v>
      </c>
      <c r="FE8" t="e">
        <f>AND(建筑物!F29,"AAAAAFb3dqA=")</f>
        <v>#VALUE!</v>
      </c>
      <c r="FF8" t="e">
        <f>AND(建筑物!G29,"AAAAAFb3dqE=")</f>
        <v>#VALUE!</v>
      </c>
      <c r="FG8">
        <f>IF(建筑物!30:30,"AAAAAFb3dqI=",0)</f>
        <v>0</v>
      </c>
      <c r="FH8" t="e">
        <f>AND(建筑物!A30,"AAAAAFb3dqM=")</f>
        <v>#VALUE!</v>
      </c>
      <c r="FI8" t="e">
        <f>AND(建筑物!B30,"AAAAAFb3dqQ=")</f>
        <v>#VALUE!</v>
      </c>
      <c r="FJ8" t="e">
        <f>AND(建筑物!C30,"AAAAAFb3dqU=")</f>
        <v>#VALUE!</v>
      </c>
      <c r="FK8" t="e">
        <f>AND(建筑物!D30,"AAAAAFb3dqY=")</f>
        <v>#VALUE!</v>
      </c>
      <c r="FL8" t="e">
        <f>AND(建筑物!E30,"AAAAAFb3dqc=")</f>
        <v>#VALUE!</v>
      </c>
      <c r="FM8" t="e">
        <f>AND(建筑物!F30,"AAAAAFb3dqg=")</f>
        <v>#VALUE!</v>
      </c>
      <c r="FN8" t="e">
        <f>AND(建筑物!G30,"AAAAAFb3dqk=")</f>
        <v>#VALUE!</v>
      </c>
      <c r="FO8">
        <f>IF(建筑物!31:31,"AAAAAFb3dqo=",0)</f>
        <v>0</v>
      </c>
      <c r="FP8" t="e">
        <f>AND(建筑物!A31,"AAAAAFb3dqs=")</f>
        <v>#VALUE!</v>
      </c>
      <c r="FQ8" t="e">
        <f>AND(建筑物!B31,"AAAAAFb3dqw=")</f>
        <v>#VALUE!</v>
      </c>
      <c r="FR8" t="e">
        <f>AND(建筑物!C31,"AAAAAFb3dq0=")</f>
        <v>#VALUE!</v>
      </c>
      <c r="FS8" t="e">
        <f>AND(建筑物!D31,"AAAAAFb3dq4=")</f>
        <v>#VALUE!</v>
      </c>
      <c r="FT8" t="e">
        <f>AND(建筑物!E31,"AAAAAFb3dq8=")</f>
        <v>#VALUE!</v>
      </c>
      <c r="FU8" t="e">
        <f>AND(建筑物!F31,"AAAAAFb3drA=")</f>
        <v>#VALUE!</v>
      </c>
      <c r="FV8" t="e">
        <f>AND(建筑物!G31,"AAAAAFb3drE=")</f>
        <v>#VALUE!</v>
      </c>
      <c r="FW8">
        <f>IF(建筑物!32:32,"AAAAAFb3drI=",0)</f>
        <v>0</v>
      </c>
      <c r="FX8" t="e">
        <f>AND(建筑物!A32,"AAAAAFb3drM=")</f>
        <v>#VALUE!</v>
      </c>
      <c r="FY8" t="e">
        <f>AND(建筑物!B32,"AAAAAFb3drQ=")</f>
        <v>#VALUE!</v>
      </c>
      <c r="FZ8" t="e">
        <f>AND(建筑物!C32,"AAAAAFb3drU=")</f>
        <v>#VALUE!</v>
      </c>
      <c r="GA8" t="e">
        <f>AND(建筑物!D32,"AAAAAFb3drY=")</f>
        <v>#VALUE!</v>
      </c>
      <c r="GB8" t="e">
        <f>AND(建筑物!E32,"AAAAAFb3drc=")</f>
        <v>#VALUE!</v>
      </c>
      <c r="GC8" t="e">
        <f>AND(建筑物!F32,"AAAAAFb3drg=")</f>
        <v>#VALUE!</v>
      </c>
      <c r="GD8" t="e">
        <f>AND(建筑物!G32,"AAAAAFb3drk=")</f>
        <v>#VALUE!</v>
      </c>
      <c r="GE8">
        <f>IF(建筑物!33:33,"AAAAAFb3dro=",0)</f>
        <v>0</v>
      </c>
      <c r="GF8" t="e">
        <f>AND(建筑物!A33,"AAAAAFb3drs=")</f>
        <v>#VALUE!</v>
      </c>
      <c r="GG8" t="e">
        <f>AND(建筑物!B33,"AAAAAFb3drw=")</f>
        <v>#VALUE!</v>
      </c>
      <c r="GH8" t="e">
        <f>AND(建筑物!C33,"AAAAAFb3dr0=")</f>
        <v>#VALUE!</v>
      </c>
      <c r="GI8" t="e">
        <f>AND(建筑物!D33,"AAAAAFb3dr4=")</f>
        <v>#VALUE!</v>
      </c>
      <c r="GJ8" t="e">
        <f>AND(建筑物!E33,"AAAAAFb3dr8=")</f>
        <v>#VALUE!</v>
      </c>
      <c r="GK8" t="e">
        <f>AND(建筑物!F33,"AAAAAFb3dsA=")</f>
        <v>#VALUE!</v>
      </c>
      <c r="GL8" t="e">
        <f>AND(建筑物!G33,"AAAAAFb3dsE=")</f>
        <v>#VALUE!</v>
      </c>
      <c r="GM8">
        <f>IF(建筑物!34:34,"AAAAAFb3dsI=",0)</f>
        <v>0</v>
      </c>
      <c r="GN8" t="e">
        <f>AND(建筑物!A34,"AAAAAFb3dsM=")</f>
        <v>#VALUE!</v>
      </c>
      <c r="GO8" t="e">
        <f>AND(建筑物!B34,"AAAAAFb3dsQ=")</f>
        <v>#VALUE!</v>
      </c>
      <c r="GP8" t="e">
        <f>AND(建筑物!C34,"AAAAAFb3dsU=")</f>
        <v>#VALUE!</v>
      </c>
      <c r="GQ8" t="e">
        <f>AND(建筑物!D34,"AAAAAFb3dsY=")</f>
        <v>#VALUE!</v>
      </c>
      <c r="GR8" t="e">
        <f>AND(建筑物!E34,"AAAAAFb3dsc=")</f>
        <v>#VALUE!</v>
      </c>
      <c r="GS8" t="e">
        <f>AND(建筑物!F34,"AAAAAFb3dsg=")</f>
        <v>#VALUE!</v>
      </c>
      <c r="GT8" t="e">
        <f>AND(建筑物!G34,"AAAAAFb3dsk=")</f>
        <v>#VALUE!</v>
      </c>
      <c r="GU8">
        <f>IF(建筑物!35:35,"AAAAAFb3dso=",0)</f>
        <v>0</v>
      </c>
      <c r="GV8" t="e">
        <f>AND(建筑物!A35,"AAAAAFb3dss=")</f>
        <v>#VALUE!</v>
      </c>
      <c r="GW8" t="e">
        <f>AND(建筑物!B35,"AAAAAFb3dsw=")</f>
        <v>#VALUE!</v>
      </c>
      <c r="GX8" t="e">
        <f>AND(建筑物!C35,"AAAAAFb3ds0=")</f>
        <v>#VALUE!</v>
      </c>
      <c r="GY8" t="e">
        <f>AND(建筑物!D35,"AAAAAFb3ds4=")</f>
        <v>#VALUE!</v>
      </c>
      <c r="GZ8" t="e">
        <f>AND(建筑物!E35,"AAAAAFb3ds8=")</f>
        <v>#VALUE!</v>
      </c>
      <c r="HA8" t="e">
        <f>AND(建筑物!F35,"AAAAAFb3dtA=")</f>
        <v>#VALUE!</v>
      </c>
      <c r="HB8" t="e">
        <f>AND(建筑物!G35,"AAAAAFb3dtE=")</f>
        <v>#VALUE!</v>
      </c>
      <c r="HC8">
        <f>IF(建筑物!36:36,"AAAAAFb3dtI=",0)</f>
        <v>0</v>
      </c>
      <c r="HD8" t="e">
        <f>AND(建筑物!A36,"AAAAAFb3dtM=")</f>
        <v>#VALUE!</v>
      </c>
      <c r="HE8" t="e">
        <f>AND(建筑物!B36,"AAAAAFb3dtQ=")</f>
        <v>#VALUE!</v>
      </c>
      <c r="HF8" t="e">
        <f>AND(建筑物!C36,"AAAAAFb3dtU=")</f>
        <v>#VALUE!</v>
      </c>
      <c r="HG8" t="e">
        <f>AND(建筑物!D36,"AAAAAFb3dtY=")</f>
        <v>#VALUE!</v>
      </c>
      <c r="HH8" t="e">
        <f>AND(建筑物!E36,"AAAAAFb3dtc=")</f>
        <v>#VALUE!</v>
      </c>
      <c r="HI8" t="e">
        <f>AND(建筑物!F36,"AAAAAFb3dtg=")</f>
        <v>#VALUE!</v>
      </c>
      <c r="HJ8" t="e">
        <f>AND(建筑物!G36,"AAAAAFb3dtk=")</f>
        <v>#VALUE!</v>
      </c>
      <c r="HK8">
        <f>IF(建筑物!37:37,"AAAAAFb3dto=",0)</f>
        <v>0</v>
      </c>
      <c r="HL8" t="e">
        <f>AND(建筑物!A37,"AAAAAFb3dts=")</f>
        <v>#VALUE!</v>
      </c>
      <c r="HM8" t="e">
        <f>AND(建筑物!B37,"AAAAAFb3dtw=")</f>
        <v>#VALUE!</v>
      </c>
      <c r="HN8" t="e">
        <f>AND(建筑物!C37,"AAAAAFb3dt0=")</f>
        <v>#VALUE!</v>
      </c>
      <c r="HO8" t="e">
        <f>AND(建筑物!D37,"AAAAAFb3dt4=")</f>
        <v>#VALUE!</v>
      </c>
      <c r="HP8" t="e">
        <f>AND(建筑物!E37,"AAAAAFb3dt8=")</f>
        <v>#VALUE!</v>
      </c>
      <c r="HQ8" t="e">
        <f>AND(建筑物!F37,"AAAAAFb3duA=")</f>
        <v>#VALUE!</v>
      </c>
      <c r="HR8" t="e">
        <f>AND(建筑物!G37,"AAAAAFb3duE=")</f>
        <v>#VALUE!</v>
      </c>
      <c r="HS8">
        <f>IF(建筑物!38:38,"AAAAAFb3duI=",0)</f>
        <v>0</v>
      </c>
      <c r="HT8" t="e">
        <f>AND(建筑物!A38,"AAAAAFb3duM=")</f>
        <v>#VALUE!</v>
      </c>
      <c r="HU8" t="e">
        <f>AND(建筑物!B38,"AAAAAFb3duQ=")</f>
        <v>#VALUE!</v>
      </c>
      <c r="HV8" t="e">
        <f>AND(建筑物!C38,"AAAAAFb3duU=")</f>
        <v>#VALUE!</v>
      </c>
      <c r="HW8" t="e">
        <f>AND(建筑物!D38,"AAAAAFb3duY=")</f>
        <v>#VALUE!</v>
      </c>
      <c r="HX8" t="e">
        <f>AND(建筑物!E38,"AAAAAFb3duc=")</f>
        <v>#VALUE!</v>
      </c>
      <c r="HY8" t="e">
        <f>AND(建筑物!F38,"AAAAAFb3dug=")</f>
        <v>#VALUE!</v>
      </c>
      <c r="HZ8" t="e">
        <f>AND(建筑物!G38,"AAAAAFb3duk=")</f>
        <v>#VALUE!</v>
      </c>
      <c r="IA8">
        <f>IF(建筑物!39:39,"AAAAAFb3duo=",0)</f>
        <v>0</v>
      </c>
      <c r="IB8" t="e">
        <f>AND(建筑物!A39,"AAAAAFb3dus=")</f>
        <v>#VALUE!</v>
      </c>
      <c r="IC8" t="e">
        <f>AND(建筑物!B39,"AAAAAFb3duw=")</f>
        <v>#VALUE!</v>
      </c>
      <c r="ID8" t="e">
        <f>AND(建筑物!C39,"AAAAAFb3du0=")</f>
        <v>#VALUE!</v>
      </c>
      <c r="IE8" t="e">
        <f>AND(建筑物!D39,"AAAAAFb3du4=")</f>
        <v>#VALUE!</v>
      </c>
      <c r="IF8" t="e">
        <f>AND(建筑物!E39,"AAAAAFb3du8=")</f>
        <v>#VALUE!</v>
      </c>
      <c r="IG8" t="e">
        <f>AND(建筑物!F39,"AAAAAFb3dvA=")</f>
        <v>#VALUE!</v>
      </c>
      <c r="IH8" t="e">
        <f>AND(建筑物!G39,"AAAAAFb3dvE=")</f>
        <v>#VALUE!</v>
      </c>
      <c r="II8">
        <f>IF(建筑物!40:40,"AAAAAFb3dvI=",0)</f>
        <v>0</v>
      </c>
      <c r="IJ8" t="e">
        <f>AND(建筑物!A40,"AAAAAFb3dvM=")</f>
        <v>#VALUE!</v>
      </c>
      <c r="IK8" t="e">
        <f>AND(建筑物!B40,"AAAAAFb3dvQ=")</f>
        <v>#VALUE!</v>
      </c>
      <c r="IL8" t="e">
        <f>AND(建筑物!C40,"AAAAAFb3dvU=")</f>
        <v>#VALUE!</v>
      </c>
      <c r="IM8" t="e">
        <f>AND(建筑物!D40,"AAAAAFb3dvY=")</f>
        <v>#VALUE!</v>
      </c>
      <c r="IN8" t="e">
        <f>AND(建筑物!E40,"AAAAAFb3dvc=")</f>
        <v>#VALUE!</v>
      </c>
      <c r="IO8" t="e">
        <f>AND(建筑物!F40,"AAAAAFb3dvg=")</f>
        <v>#VALUE!</v>
      </c>
      <c r="IP8" t="e">
        <f>AND(建筑物!G40,"AAAAAFb3dvk=")</f>
        <v>#VALUE!</v>
      </c>
      <c r="IQ8">
        <f>IF(建筑物!41:41,"AAAAAFb3dvo=",0)</f>
        <v>0</v>
      </c>
      <c r="IR8" t="e">
        <f>AND(建筑物!A41,"AAAAAFb3dvs=")</f>
        <v>#VALUE!</v>
      </c>
      <c r="IS8" t="e">
        <f>AND(建筑物!B41,"AAAAAFb3dvw=")</f>
        <v>#VALUE!</v>
      </c>
      <c r="IT8" t="e">
        <f>AND(建筑物!C41,"AAAAAFb3dv0=")</f>
        <v>#VALUE!</v>
      </c>
      <c r="IU8" t="e">
        <f>AND(建筑物!D41,"AAAAAFb3dv4=")</f>
        <v>#VALUE!</v>
      </c>
      <c r="IV8" t="e">
        <f>AND(建筑物!E41,"AAAAAFb3dv8=")</f>
        <v>#VALUE!</v>
      </c>
    </row>
    <row r="9" spans="1:256">
      <c r="A9" t="e">
        <f>AND(建筑物!F41,"AAAAAE+z+gA=")</f>
        <v>#VALUE!</v>
      </c>
      <c r="B9" t="e">
        <f>AND(建筑物!G41,"AAAAAE+z+gE=")</f>
        <v>#VALUE!</v>
      </c>
      <c r="C9" t="str">
        <f>IF(建筑物!42:42,"AAAAAE+z+gI=",0)</f>
        <v>AAAAAE+z+gI=</v>
      </c>
      <c r="D9" t="e">
        <f>AND(建筑物!A42,"AAAAAE+z+gM=")</f>
        <v>#VALUE!</v>
      </c>
      <c r="E9" t="e">
        <f>AND(建筑物!B42,"AAAAAE+z+gQ=")</f>
        <v>#VALUE!</v>
      </c>
      <c r="F9" t="e">
        <f>AND(建筑物!C42,"AAAAAE+z+gU=")</f>
        <v>#VALUE!</v>
      </c>
      <c r="G9" t="e">
        <f>AND(建筑物!D42,"AAAAAE+z+gY=")</f>
        <v>#VALUE!</v>
      </c>
      <c r="H9" t="e">
        <f>AND(建筑物!E42,"AAAAAE+z+gc=")</f>
        <v>#VALUE!</v>
      </c>
      <c r="I9" t="e">
        <f>AND(建筑物!F42,"AAAAAE+z+gg=")</f>
        <v>#VALUE!</v>
      </c>
      <c r="J9" t="e">
        <f>AND(建筑物!G42,"AAAAAE+z+gk=")</f>
        <v>#VALUE!</v>
      </c>
      <c r="K9">
        <f>IF(建筑物!43:43,"AAAAAE+z+go=",0)</f>
        <v>0</v>
      </c>
      <c r="L9" t="e">
        <f>AND(建筑物!A43,"AAAAAE+z+gs=")</f>
        <v>#VALUE!</v>
      </c>
      <c r="M9" t="e">
        <f>AND(建筑物!B43,"AAAAAE+z+gw=")</f>
        <v>#VALUE!</v>
      </c>
      <c r="N9" t="e">
        <f>AND(建筑物!C43,"AAAAAE+z+g0=")</f>
        <v>#VALUE!</v>
      </c>
      <c r="O9" t="e">
        <f>AND(建筑物!D43,"AAAAAE+z+g4=")</f>
        <v>#VALUE!</v>
      </c>
      <c r="P9" t="e">
        <f>AND(建筑物!E43,"AAAAAE+z+g8=")</f>
        <v>#VALUE!</v>
      </c>
      <c r="Q9" t="e">
        <f>AND(建筑物!F43,"AAAAAE+z+hA=")</f>
        <v>#VALUE!</v>
      </c>
      <c r="R9" t="e">
        <f>AND(建筑物!G43,"AAAAAE+z+hE=")</f>
        <v>#VALUE!</v>
      </c>
      <c r="S9">
        <f>IF(建筑物!44:44,"AAAAAE+z+hI=",0)</f>
        <v>0</v>
      </c>
      <c r="T9" t="e">
        <f>AND(建筑物!A44,"AAAAAE+z+hM=")</f>
        <v>#VALUE!</v>
      </c>
      <c r="U9" t="e">
        <f>AND(建筑物!B44,"AAAAAE+z+hQ=")</f>
        <v>#VALUE!</v>
      </c>
      <c r="V9" t="e">
        <f>AND(建筑物!C44,"AAAAAE+z+hU=")</f>
        <v>#VALUE!</v>
      </c>
      <c r="W9" t="e">
        <f>AND(建筑物!D44,"AAAAAE+z+hY=")</f>
        <v>#VALUE!</v>
      </c>
      <c r="X9" t="e">
        <f>AND(建筑物!E44,"AAAAAE+z+hc=")</f>
        <v>#VALUE!</v>
      </c>
      <c r="Y9" t="e">
        <f>AND(建筑物!F44,"AAAAAE+z+hg=")</f>
        <v>#VALUE!</v>
      </c>
      <c r="Z9" t="e">
        <f>AND(建筑物!G44,"AAAAAE+z+hk=")</f>
        <v>#VALUE!</v>
      </c>
      <c r="AA9">
        <f>IF(建筑物!45:45,"AAAAAE+z+ho=",0)</f>
        <v>0</v>
      </c>
      <c r="AB9" t="e">
        <f>AND(建筑物!A45,"AAAAAE+z+hs=")</f>
        <v>#VALUE!</v>
      </c>
      <c r="AC9" t="e">
        <f>AND(建筑物!B45,"AAAAAE+z+hw=")</f>
        <v>#VALUE!</v>
      </c>
      <c r="AD9" t="e">
        <f>AND(建筑物!C45,"AAAAAE+z+h0=")</f>
        <v>#VALUE!</v>
      </c>
      <c r="AE9" t="e">
        <f>AND(建筑物!D45,"AAAAAE+z+h4=")</f>
        <v>#VALUE!</v>
      </c>
      <c r="AF9" t="e">
        <f>AND(建筑物!E45,"AAAAAE+z+h8=")</f>
        <v>#VALUE!</v>
      </c>
      <c r="AG9" t="e">
        <f>AND(建筑物!F45,"AAAAAE+z+iA=")</f>
        <v>#VALUE!</v>
      </c>
      <c r="AH9" t="e">
        <f>AND(建筑物!G45,"AAAAAE+z+iE=")</f>
        <v>#VALUE!</v>
      </c>
      <c r="AI9">
        <f>IF(建筑物!46:46,"AAAAAE+z+iI=",0)</f>
        <v>0</v>
      </c>
      <c r="AJ9" t="e">
        <f>AND(建筑物!A46,"AAAAAE+z+iM=")</f>
        <v>#VALUE!</v>
      </c>
      <c r="AK9" t="e">
        <f>AND(建筑物!B46,"AAAAAE+z+iQ=")</f>
        <v>#VALUE!</v>
      </c>
      <c r="AL9" t="e">
        <f>AND(建筑物!C46,"AAAAAE+z+iU=")</f>
        <v>#VALUE!</v>
      </c>
      <c r="AM9" t="e">
        <f>AND(建筑物!D46,"AAAAAE+z+iY=")</f>
        <v>#VALUE!</v>
      </c>
      <c r="AN9" t="e">
        <f>AND(建筑物!E46,"AAAAAE+z+ic=")</f>
        <v>#VALUE!</v>
      </c>
      <c r="AO9" t="e">
        <f>AND(建筑物!F46,"AAAAAE+z+ig=")</f>
        <v>#VALUE!</v>
      </c>
      <c r="AP9" t="e">
        <f>AND(建筑物!G46,"AAAAAE+z+ik=")</f>
        <v>#VALUE!</v>
      </c>
      <c r="AQ9">
        <f>IF(建筑物!47:47,"AAAAAE+z+io=",0)</f>
        <v>0</v>
      </c>
      <c r="AR9" t="e">
        <f>AND(建筑物!A47,"AAAAAE+z+is=")</f>
        <v>#VALUE!</v>
      </c>
      <c r="AS9" t="e">
        <f>AND(建筑物!B47,"AAAAAE+z+iw=")</f>
        <v>#VALUE!</v>
      </c>
      <c r="AT9" t="e">
        <f>AND(建筑物!C47,"AAAAAE+z+i0=")</f>
        <v>#VALUE!</v>
      </c>
      <c r="AU9" t="e">
        <f>AND(建筑物!D47,"AAAAAE+z+i4=")</f>
        <v>#VALUE!</v>
      </c>
      <c r="AV9" t="e">
        <f>AND(建筑物!E47,"AAAAAE+z+i8=")</f>
        <v>#VALUE!</v>
      </c>
      <c r="AW9" t="e">
        <f>AND(建筑物!F47,"AAAAAE+z+jA=")</f>
        <v>#VALUE!</v>
      </c>
      <c r="AX9" t="e">
        <f>AND(建筑物!G47,"AAAAAE+z+jE=")</f>
        <v>#VALUE!</v>
      </c>
      <c r="AY9" t="str">
        <f>IF(建筑物!A:A,"AAAAAE+z+jI=",0)</f>
        <v>AAAAAE+z+jI=</v>
      </c>
      <c r="AZ9" t="e">
        <f>IF(建筑物!B:B,"AAAAAE+z+jM=",0)</f>
        <v>#VALUE!</v>
      </c>
      <c r="BA9" t="str">
        <f>IF(建筑物!C:C,"AAAAAE+z+jQ=",0)</f>
        <v>AAAAAE+z+jQ=</v>
      </c>
      <c r="BB9" t="e">
        <f>IF(建筑物!D:D,"AAAAAE+z+jU=",0)</f>
        <v>#VALUE!</v>
      </c>
      <c r="BC9" t="e">
        <f>IF(建筑物!E:E,"AAAAAE+z+jY=",0)</f>
        <v>#VALUE!</v>
      </c>
      <c r="BD9" t="str">
        <f>IF(建筑物!F:F,"AAAAAE+z+jc=",0)</f>
        <v>AAAAAE+z+jc=</v>
      </c>
      <c r="BE9" t="str">
        <f>IF(建筑物!G:G,"AAAAAE+z+jg=",0)</f>
        <v>AAAAAE+z+jg=</v>
      </c>
      <c r="BF9">
        <f>IF(建筑物!H:H,"AAAAAE+z+jk=",0)</f>
        <v>0</v>
      </c>
      <c r="BG9">
        <f>IF(装备表!1:1,"AAAAAE+z+jo=",0)</f>
        <v>0</v>
      </c>
      <c r="BH9" t="e">
        <f>AND(装备表!A1,"AAAAAE+z+js=")</f>
        <v>#VALUE!</v>
      </c>
      <c r="BI9" t="e">
        <f>AND(装备表!B1,"AAAAAE+z+jw=")</f>
        <v>#VALUE!</v>
      </c>
      <c r="BJ9" t="e">
        <f>AND(装备表!F1,"AAAAAE+z+j0=")</f>
        <v>#VALUE!</v>
      </c>
      <c r="BK9" t="e">
        <f>AND(装备表!G1,"AAAAAE+z+j4=")</f>
        <v>#VALUE!</v>
      </c>
      <c r="BL9" t="e">
        <f>AND(装备表!H1,"AAAAAE+z+j8=")</f>
        <v>#VALUE!</v>
      </c>
      <c r="BM9" t="e">
        <f>AND(装备表!I1,"AAAAAE+z+kA=")</f>
        <v>#VALUE!</v>
      </c>
      <c r="BN9" t="e">
        <f>AND(装备表!J1,"AAAAAE+z+kE=")</f>
        <v>#VALUE!</v>
      </c>
      <c r="BO9" t="e">
        <f>AND(装备表!K1,"AAAAAE+z+kI=")</f>
        <v>#VALUE!</v>
      </c>
      <c r="BP9" t="e">
        <f>AND(装备表!M1,"AAAAAE+z+kM=")</f>
        <v>#VALUE!</v>
      </c>
      <c r="BQ9" t="e">
        <f>AND(装备表!P1,"AAAAAE+z+kQ=")</f>
        <v>#VALUE!</v>
      </c>
      <c r="BR9" t="e">
        <f>AND(装备表!S1,"AAAAAE+z+kU=")</f>
        <v>#VALUE!</v>
      </c>
      <c r="BS9" t="e">
        <f>AND(装备表!V1,"AAAAAE+z+kY=")</f>
        <v>#VALUE!</v>
      </c>
      <c r="BT9" t="e">
        <f>AND(装备表!Y1,"AAAAAE+z+kc=")</f>
        <v>#VALUE!</v>
      </c>
      <c r="BU9" t="e">
        <f>AND(装备表!AA1,"AAAAAE+z+kg=")</f>
        <v>#VALUE!</v>
      </c>
      <c r="BV9" t="e">
        <f>AND(装备表!AB1,"AAAAAE+z+kk=")</f>
        <v>#VALUE!</v>
      </c>
      <c r="BW9" t="e">
        <f>AND(装备表!AC1,"AAAAAE+z+ko=")</f>
        <v>#VALUE!</v>
      </c>
      <c r="BX9" t="e">
        <f>AND(装备表!AE1,"AAAAAE+z+ks=")</f>
        <v>#VALUE!</v>
      </c>
      <c r="BY9" t="e">
        <f>AND(装备表!AF1,"AAAAAE+z+kw=")</f>
        <v>#VALUE!</v>
      </c>
      <c r="BZ9" t="e">
        <f>AND(装备表!AG1,"AAAAAE+z+k0=")</f>
        <v>#VALUE!</v>
      </c>
      <c r="CA9" t="e">
        <f>AND(装备表!AH1,"AAAAAE+z+k4=")</f>
        <v>#VALUE!</v>
      </c>
      <c r="CB9" t="e">
        <f>AND(装备表!AI1,"AAAAAE+z+k8=")</f>
        <v>#VALUE!</v>
      </c>
      <c r="CC9" t="e">
        <f>AND(装备表!AJ1,"AAAAAE+z+lA=")</f>
        <v>#VALUE!</v>
      </c>
      <c r="CD9" t="e">
        <f>AND(装备表!AK1,"AAAAAE+z+lE=")</f>
        <v>#VALUE!</v>
      </c>
      <c r="CE9">
        <f>IF(装备表!2:2,"AAAAAE+z+lI=",0)</f>
        <v>0</v>
      </c>
      <c r="CF9" t="e">
        <f>AND(装备表!A2,"AAAAAE+z+lM=")</f>
        <v>#VALUE!</v>
      </c>
      <c r="CG9" t="e">
        <f>AND(装备表!B2,"AAAAAE+z+lQ=")</f>
        <v>#VALUE!</v>
      </c>
      <c r="CH9">
        <f>IF(装备表!3:3,"AAAAAE+z+lU=",0)</f>
        <v>0</v>
      </c>
      <c r="CI9" t="e">
        <f>AND(装备表!A3,"AAAAAE+z+lY=")</f>
        <v>#VALUE!</v>
      </c>
      <c r="CJ9" t="e">
        <f>AND(装备表!B3,"AAAAAE+z+lc=")</f>
        <v>#VALUE!</v>
      </c>
      <c r="CK9">
        <f>IF(装备表!4:4,"AAAAAE+z+lg=",0)</f>
        <v>0</v>
      </c>
      <c r="CL9" t="e">
        <f>AND(装备表!A4,"AAAAAE+z+lk=")</f>
        <v>#VALUE!</v>
      </c>
      <c r="CM9" t="e">
        <f>AND(装备表!B4,"AAAAAE+z+lo=")</f>
        <v>#VALUE!</v>
      </c>
      <c r="CN9">
        <f>IF(装备表!5:5,"AAAAAE+z+ls=",0)</f>
        <v>0</v>
      </c>
      <c r="CO9" t="e">
        <f>AND(装备表!A5,"AAAAAE+z+lw=")</f>
        <v>#VALUE!</v>
      </c>
      <c r="CP9" t="e">
        <f>AND(装备表!B5,"AAAAAE+z+l0=")</f>
        <v>#VALUE!</v>
      </c>
      <c r="CQ9">
        <f>IF(装备表!6:6,"AAAAAE+z+l4=",0)</f>
        <v>0</v>
      </c>
      <c r="CR9" t="e">
        <f>AND(装备表!A6,"AAAAAE+z+l8=")</f>
        <v>#VALUE!</v>
      </c>
      <c r="CS9" t="e">
        <f>AND(装备表!#REF!,"AAAAAE+z+mA=")</f>
        <v>#REF!</v>
      </c>
      <c r="CT9">
        <f>IF(装备表!7:7,"AAAAAE+z+mE=",0)</f>
        <v>0</v>
      </c>
      <c r="CU9" t="e">
        <f>AND(装备表!A7,"AAAAAE+z+mI=")</f>
        <v>#VALUE!</v>
      </c>
      <c r="CV9" t="e">
        <f>AND(装备表!#REF!,"AAAAAE+z+mM=")</f>
        <v>#REF!</v>
      </c>
      <c r="CW9">
        <f>IF(装备表!8:8,"AAAAAE+z+mQ=",0)</f>
        <v>0</v>
      </c>
      <c r="CX9" t="e">
        <f>AND(装备表!A8,"AAAAAE+z+mU=")</f>
        <v>#VALUE!</v>
      </c>
      <c r="CY9" t="e">
        <f>AND(装备表!#REF!,"AAAAAE+z+mY=")</f>
        <v>#REF!</v>
      </c>
      <c r="CZ9">
        <f>IF(装备表!9:9,"AAAAAE+z+mc=",0)</f>
        <v>0</v>
      </c>
      <c r="DA9" t="e">
        <f>AND(装备表!A9,"AAAAAE+z+mg=")</f>
        <v>#VALUE!</v>
      </c>
      <c r="DB9" t="e">
        <f>AND(装备表!#REF!,"AAAAAE+z+mk=")</f>
        <v>#REF!</v>
      </c>
      <c r="DC9">
        <f>IF(装备表!10:10,"AAAAAE+z+mo=",0)</f>
        <v>0</v>
      </c>
      <c r="DD9" t="e">
        <f>AND(装备表!A10,"AAAAAE+z+ms=")</f>
        <v>#VALUE!</v>
      </c>
      <c r="DE9" t="e">
        <f>AND(装备表!#REF!,"AAAAAE+z+mw=")</f>
        <v>#REF!</v>
      </c>
      <c r="DF9">
        <f>IF(装备表!11:11,"AAAAAE+z+m0=",0)</f>
        <v>0</v>
      </c>
      <c r="DG9" t="e">
        <f>AND(装备表!A11,"AAAAAE+z+m4=")</f>
        <v>#VALUE!</v>
      </c>
      <c r="DH9" t="e">
        <f>AND(装备表!#REF!,"AAAAAE+z+m8=")</f>
        <v>#REF!</v>
      </c>
      <c r="DI9">
        <f>IF(装备表!12:12,"AAAAAE+z+nA=",0)</f>
        <v>0</v>
      </c>
      <c r="DJ9" t="e">
        <f>AND(装备表!A12,"AAAAAE+z+nE=")</f>
        <v>#VALUE!</v>
      </c>
      <c r="DK9" t="e">
        <f>AND(装备表!#REF!,"AAAAAE+z+nI=")</f>
        <v>#REF!</v>
      </c>
      <c r="DL9">
        <f>IF(装备表!13:13,"AAAAAE+z+nM=",0)</f>
        <v>0</v>
      </c>
      <c r="DM9" t="e">
        <f>AND(装备表!A13,"AAAAAE+z+nQ=")</f>
        <v>#VALUE!</v>
      </c>
      <c r="DN9" t="e">
        <f>AND(装备表!#REF!,"AAAAAE+z+nU=")</f>
        <v>#REF!</v>
      </c>
      <c r="DO9">
        <f>IF(装备表!14:14,"AAAAAE+z+nY=",0)</f>
        <v>0</v>
      </c>
      <c r="DP9" t="e">
        <f>AND(装备表!A14,"AAAAAE+z+nc=")</f>
        <v>#VALUE!</v>
      </c>
      <c r="DQ9" t="e">
        <f>AND(装备表!B6,"AAAAAE+z+ng=")</f>
        <v>#VALUE!</v>
      </c>
      <c r="DR9">
        <f>IF(装备表!15:15,"AAAAAE+z+nk=",0)</f>
        <v>0</v>
      </c>
      <c r="DS9" t="e">
        <f>AND(装备表!A15,"AAAAAE+z+no=")</f>
        <v>#VALUE!</v>
      </c>
      <c r="DT9" t="e">
        <f>AND(装备表!#REF!,"AAAAAE+z+ns=")</f>
        <v>#REF!</v>
      </c>
      <c r="DU9">
        <f>IF(装备表!16:16,"AAAAAE+z+nw=",0)</f>
        <v>0</v>
      </c>
      <c r="DV9" t="e">
        <f>AND(装备表!A16,"AAAAAE+z+n0=")</f>
        <v>#VALUE!</v>
      </c>
      <c r="DW9" t="e">
        <f>AND(装备表!#REF!,"AAAAAE+z+n4=")</f>
        <v>#REF!</v>
      </c>
      <c r="DX9">
        <f>IF(装备表!17:17,"AAAAAE+z+n8=",0)</f>
        <v>0</v>
      </c>
      <c r="DY9" t="e">
        <f>AND(装备表!A17,"AAAAAE+z+oA=")</f>
        <v>#VALUE!</v>
      </c>
      <c r="DZ9" t="e">
        <f>AND(装备表!#REF!,"AAAAAE+z+oE=")</f>
        <v>#REF!</v>
      </c>
      <c r="EA9">
        <f>IF(装备表!18:18,"AAAAAE+z+oI=",0)</f>
        <v>0</v>
      </c>
      <c r="EB9" t="e">
        <f>AND(装备表!A18,"AAAAAE+z+oM=")</f>
        <v>#VALUE!</v>
      </c>
      <c r="EC9" t="e">
        <f>AND(装备表!#REF!,"AAAAAE+z+oQ=")</f>
        <v>#REF!</v>
      </c>
      <c r="ED9">
        <f>IF(装备表!19:19,"AAAAAE+z+oU=",0)</f>
        <v>0</v>
      </c>
      <c r="EE9" t="e">
        <f>AND(装备表!A19,"AAAAAE+z+oY=")</f>
        <v>#VALUE!</v>
      </c>
      <c r="EF9" t="e">
        <f>AND(装备表!#REF!,"AAAAAE+z+oc=")</f>
        <v>#REF!</v>
      </c>
      <c r="EG9">
        <f>IF(装备表!20:20,"AAAAAE+z+og=",0)</f>
        <v>0</v>
      </c>
      <c r="EH9" t="e">
        <f>AND(装备表!A20,"AAAAAE+z+ok=")</f>
        <v>#VALUE!</v>
      </c>
      <c r="EI9" t="e">
        <f>AND(装备表!#REF!,"AAAAAE+z+oo=")</f>
        <v>#REF!</v>
      </c>
      <c r="EJ9">
        <f>IF(装备表!21:21,"AAAAAE+z+os=",0)</f>
        <v>0</v>
      </c>
      <c r="EK9" t="e">
        <f>AND(装备表!A21,"AAAAAE+z+ow=")</f>
        <v>#VALUE!</v>
      </c>
      <c r="EL9" t="e">
        <f>AND(装备表!#REF!,"AAAAAE+z+o0=")</f>
        <v>#REF!</v>
      </c>
      <c r="EM9">
        <f>IF(装备表!22:22,"AAAAAE+z+o4=",0)</f>
        <v>0</v>
      </c>
      <c r="EN9" t="e">
        <f>AND(装备表!A22,"AAAAAE+z+o8=")</f>
        <v>#VALUE!</v>
      </c>
      <c r="EO9" t="e">
        <f>AND(装备表!#REF!,"AAAAAE+z+pA=")</f>
        <v>#REF!</v>
      </c>
      <c r="EP9">
        <f>IF(装备表!23:23,"AAAAAE+z+pE=",0)</f>
        <v>0</v>
      </c>
      <c r="EQ9" t="e">
        <f>AND(装备表!A23,"AAAAAE+z+pI=")</f>
        <v>#VALUE!</v>
      </c>
      <c r="ER9" t="e">
        <f>AND(装备表!#REF!,"AAAAAE+z+pM=")</f>
        <v>#REF!</v>
      </c>
      <c r="ES9">
        <f>IF(装备表!24:24,"AAAAAE+z+pQ=",0)</f>
        <v>0</v>
      </c>
      <c r="ET9" t="e">
        <f>AND(装备表!A24,"AAAAAE+z+pU=")</f>
        <v>#VALUE!</v>
      </c>
      <c r="EU9" t="e">
        <f>AND(装备表!#REF!,"AAAAAE+z+pY=")</f>
        <v>#REF!</v>
      </c>
      <c r="EV9">
        <f>IF(装备表!25:25,"AAAAAE+z+pc=",0)</f>
        <v>0</v>
      </c>
      <c r="EW9" t="e">
        <f>AND(装备表!A25,"AAAAAE+z+pg=")</f>
        <v>#VALUE!</v>
      </c>
      <c r="EX9" t="e">
        <f>AND(装备表!#REF!,"AAAAAE+z+pk=")</f>
        <v>#REF!</v>
      </c>
      <c r="EY9">
        <f>IF(装备表!A:A,"AAAAAE+z+po=",0)</f>
        <v>0</v>
      </c>
      <c r="EZ9" t="e">
        <f>IF(装备表!B:B,"AAAAAE+z+ps=",0)</f>
        <v>#VALUE!</v>
      </c>
      <c r="FA9">
        <f>IF(装备表!F:F,"AAAAAE+z+pw=",0)</f>
        <v>0</v>
      </c>
      <c r="FB9">
        <f>IF(装备表!G:G,"AAAAAE+z+p0=",0)</f>
        <v>0</v>
      </c>
      <c r="FC9" t="str">
        <f>IF(装备表!H:H,"AAAAAE+z+p4=",0)</f>
        <v>AAAAAE+z+p4=</v>
      </c>
      <c r="FD9" t="str">
        <f>IF(装备表!I:I,"AAAAAE+z+p8=",0)</f>
        <v>AAAAAE+z+p8=</v>
      </c>
      <c r="FE9">
        <f>IF(装备表!J:J,"AAAAAE+z+qA=",0)</f>
        <v>0</v>
      </c>
      <c r="FF9">
        <f>IF(装备表!K:K,"AAAAAE+z+qE=",0)</f>
        <v>0</v>
      </c>
      <c r="FG9">
        <f>IF(装备表!M:M,"AAAAAE+z+qI=",0)</f>
        <v>0</v>
      </c>
      <c r="FH9">
        <f>IF(装备表!P:P,"AAAAAE+z+qM=",0)</f>
        <v>0</v>
      </c>
      <c r="FI9" t="str">
        <f>IF(装备表!S:S,"AAAAAE+z+qQ=",0)</f>
        <v>AAAAAE+z+qQ=</v>
      </c>
      <c r="FJ9">
        <f>IF(装备表!V:V,"AAAAAE+z+qU=",0)</f>
        <v>0</v>
      </c>
      <c r="FK9">
        <f>IF(装备表!Y:Y,"AAAAAE+z+qY=",0)</f>
        <v>0</v>
      </c>
      <c r="FL9">
        <f>IF(装备表!AA:AA,"AAAAAE+z+qc=",0)</f>
        <v>0</v>
      </c>
      <c r="FM9">
        <f>IF(装备表!AB:AB,"AAAAAE+z+qg=",0)</f>
        <v>0</v>
      </c>
      <c r="FN9">
        <f>IF(装备表!AC:AC,"AAAAAE+z+qk=",0)</f>
        <v>0</v>
      </c>
      <c r="FO9">
        <f>IF(装备表!AE:AE,"AAAAAE+z+qo=",0)</f>
        <v>0</v>
      </c>
      <c r="FP9">
        <f>IF(装备表!AF:AF,"AAAAAE+z+qs=",0)</f>
        <v>0</v>
      </c>
      <c r="FQ9">
        <f>IF(装备表!AG:AG,"AAAAAE+z+qw=",0)</f>
        <v>0</v>
      </c>
      <c r="FR9">
        <f>IF(装备表!AH:AH,"AAAAAE+z+q0=",0)</f>
        <v>0</v>
      </c>
      <c r="FS9">
        <f>IF(装备表!AI:AI,"AAAAAE+z+q4=",0)</f>
        <v>0</v>
      </c>
      <c r="FT9">
        <f>IF(装备表!AJ:AJ,"AAAAAE+z+q8=",0)</f>
        <v>0</v>
      </c>
      <c r="FU9">
        <f>IF(装备表!AK:AK,"AAAAAE+z+rA=",0)</f>
        <v>0</v>
      </c>
      <c r="FV9">
        <f>IF(装备部位!1:1,"AAAAAE+z+rE=",0)</f>
        <v>0</v>
      </c>
      <c r="FW9" t="e">
        <f>AND(装备部位!A1,"AAAAAE+z+rI=")</f>
        <v>#VALUE!</v>
      </c>
      <c r="FX9" t="e">
        <f>AND(装备部位!B1,"AAAAAE+z+rM=")</f>
        <v>#VALUE!</v>
      </c>
      <c r="FY9">
        <f>IF(装备部位!2:2,"AAAAAE+z+rQ=",0)</f>
        <v>0</v>
      </c>
      <c r="FZ9" t="e">
        <f>AND(装备部位!A2,"AAAAAE+z+rU=")</f>
        <v>#VALUE!</v>
      </c>
      <c r="GA9" t="e">
        <f>AND(装备部位!B2,"AAAAAE+z+rY=")</f>
        <v>#VALUE!</v>
      </c>
      <c r="GB9">
        <f>IF(装备部位!3:3,"AAAAAE+z+rc=",0)</f>
        <v>0</v>
      </c>
      <c r="GC9" t="e">
        <f>AND(装备部位!A3,"AAAAAE+z+rg=")</f>
        <v>#VALUE!</v>
      </c>
      <c r="GD9" t="e">
        <f>AND(装备部位!B3,"AAAAAE+z+rk=")</f>
        <v>#VALUE!</v>
      </c>
      <c r="GE9">
        <f>IF(装备部位!4:4,"AAAAAE+z+ro=",0)</f>
        <v>0</v>
      </c>
      <c r="GF9" t="e">
        <f>AND(装备部位!A4,"AAAAAE+z+rs=")</f>
        <v>#VALUE!</v>
      </c>
      <c r="GG9" t="e">
        <f>AND(装备部位!B4,"AAAAAE+z+rw=")</f>
        <v>#VALUE!</v>
      </c>
      <c r="GH9">
        <f>IF(装备部位!5:5,"AAAAAE+z+r0=",0)</f>
        <v>0</v>
      </c>
      <c r="GI9" t="e">
        <f>AND(装备部位!A5,"AAAAAE+z+r4=")</f>
        <v>#VALUE!</v>
      </c>
      <c r="GJ9" t="e">
        <f>AND(装备部位!B5,"AAAAAE+z+r8=")</f>
        <v>#VALUE!</v>
      </c>
      <c r="GK9">
        <f>IF(装备部位!6:6,"AAAAAE+z+sA=",0)</f>
        <v>0</v>
      </c>
      <c r="GL9" t="e">
        <f>AND(装备部位!A6,"AAAAAE+z+sE=")</f>
        <v>#VALUE!</v>
      </c>
      <c r="GM9" t="e">
        <f>AND(装备部位!B6,"AAAAAE+z+sI=")</f>
        <v>#VALUE!</v>
      </c>
      <c r="GN9">
        <f>IF(装备部位!7:7,"AAAAAE+z+sM=",0)</f>
        <v>0</v>
      </c>
      <c r="GO9" t="e">
        <f>AND(装备部位!A7,"AAAAAE+z+sQ=")</f>
        <v>#VALUE!</v>
      </c>
      <c r="GP9" t="e">
        <f>AND(装备部位!B7,"AAAAAE+z+sU=")</f>
        <v>#VALUE!</v>
      </c>
      <c r="GQ9">
        <f>IF(装备部位!A:A,"AAAAAE+z+sY=",0)</f>
        <v>0</v>
      </c>
      <c r="GR9">
        <f>IF(装备部位!B:B,"AAAAAE+z+sc=",0)</f>
        <v>0</v>
      </c>
      <c r="GS9">
        <f>IF(道具表!1:1,"AAAAAE+z+sg=",0)</f>
        <v>0</v>
      </c>
      <c r="GT9" t="e">
        <f>AND(道具表!A1,"AAAAAE+z+sk=")</f>
        <v>#VALUE!</v>
      </c>
      <c r="GU9" t="e">
        <f>AND(道具表!B1,"AAAAAE+z+so=")</f>
        <v>#VALUE!</v>
      </c>
      <c r="GV9" t="e">
        <f>AND(道具表!C1,"AAAAAE+z+ss=")</f>
        <v>#VALUE!</v>
      </c>
      <c r="GW9" t="e">
        <f>AND(道具表!D1,"AAAAAE+z+sw=")</f>
        <v>#VALUE!</v>
      </c>
      <c r="GX9" t="e">
        <f>AND(道具表!E1,"AAAAAE+z+s0=")</f>
        <v>#VALUE!</v>
      </c>
      <c r="GY9" t="e">
        <f>AND(道具表!F1,"AAAAAE+z+s4=")</f>
        <v>#VALUE!</v>
      </c>
      <c r="GZ9" t="e">
        <f>AND(道具表!G1,"AAAAAE+z+s8=")</f>
        <v>#VALUE!</v>
      </c>
      <c r="HA9" t="e">
        <f>AND(道具表!H1,"AAAAAE+z+tA=")</f>
        <v>#VALUE!</v>
      </c>
      <c r="HB9" t="e">
        <f>AND(道具表!I1,"AAAAAE+z+tE=")</f>
        <v>#VALUE!</v>
      </c>
      <c r="HC9" t="e">
        <f>AND(道具表!J1,"AAAAAE+z+tI=")</f>
        <v>#VALUE!</v>
      </c>
      <c r="HD9" t="e">
        <f>AND(道具表!K1,"AAAAAE+z+tM=")</f>
        <v>#VALUE!</v>
      </c>
      <c r="HE9" t="e">
        <f>AND(道具表!L1,"AAAAAE+z+tQ=")</f>
        <v>#VALUE!</v>
      </c>
      <c r="HF9" t="e">
        <f>AND(道具表!M1,"AAAAAE+z+tU=")</f>
        <v>#VALUE!</v>
      </c>
      <c r="HG9" t="e">
        <f>AND(道具表!N1,"AAAAAE+z+tY=")</f>
        <v>#VALUE!</v>
      </c>
      <c r="HH9" t="e">
        <f>IF(道具表!#REF!,"AAAAAE+z+tc=",0)</f>
        <v>#REF!</v>
      </c>
      <c r="HI9" t="e">
        <f>AND(道具表!#REF!,"AAAAAE+z+tg=")</f>
        <v>#REF!</v>
      </c>
      <c r="HJ9" t="e">
        <f>AND(道具表!B17,"AAAAAE+z+tk=")</f>
        <v>#VALUE!</v>
      </c>
      <c r="HK9" t="e">
        <f>IF(道具表!#REF!,"AAAAAE+z+to=",0)</f>
        <v>#REF!</v>
      </c>
      <c r="HL9" t="e">
        <f>AND(道具表!#REF!,"AAAAAE+z+ts=")</f>
        <v>#REF!</v>
      </c>
      <c r="HM9" t="e">
        <f>AND(道具表!B18,"AAAAAE+z+tw=")</f>
        <v>#VALUE!</v>
      </c>
      <c r="HN9">
        <f>IF(道具表!A:A,"AAAAAE+z+t0=",0)</f>
        <v>0</v>
      </c>
      <c r="HO9" t="e">
        <f>IF(道具表!B:B,"AAAAAE+z+t4=",0)</f>
        <v>#VALUE!</v>
      </c>
      <c r="HP9">
        <f>IF(道具表!C:C,"AAAAAE+z+t8=",0)</f>
        <v>0</v>
      </c>
      <c r="HQ9" t="e">
        <f>IF(道具表!D:D,"AAAAAE+z+uA=",0)</f>
        <v>#VALUE!</v>
      </c>
      <c r="HR9">
        <f>IF(道具表!E:E,"AAAAAE+z+uE=",0)</f>
        <v>0</v>
      </c>
      <c r="HS9">
        <f>IF(道具表!F:F,"AAAAAE+z+uI=",0)</f>
        <v>0</v>
      </c>
      <c r="HT9">
        <f>IF(道具表!G:G,"AAAAAE+z+uM=",0)</f>
        <v>0</v>
      </c>
      <c r="HU9">
        <f>IF(道具表!H:H,"AAAAAE+z+uQ=",0)</f>
        <v>0</v>
      </c>
      <c r="HV9">
        <f>IF(道具表!I:I,"AAAAAE+z+uU=",0)</f>
        <v>0</v>
      </c>
      <c r="HW9">
        <f>IF(道具表!J:J,"AAAAAE+z+uY=",0)</f>
        <v>0</v>
      </c>
      <c r="HX9">
        <f>IF(道具表!K:K,"AAAAAE+z+uc=",0)</f>
        <v>0</v>
      </c>
      <c r="HY9">
        <f>IF(道具表!L:L,"AAAAAE+z+ug=",0)</f>
        <v>0</v>
      </c>
      <c r="HZ9">
        <f>IF(道具表!M:M,"AAAAAE+z+uk=",0)</f>
        <v>0</v>
      </c>
      <c r="IA9">
        <f>IF(道具表!N:N,"AAAAAE+z+uo=",0)</f>
        <v>0</v>
      </c>
      <c r="IB9">
        <f>IF(道具类型!1:1,"AAAAAE+z+us=",0)</f>
        <v>0</v>
      </c>
      <c r="IC9" t="e">
        <f>AND(道具类型!A1,"AAAAAE+z+uw=")</f>
        <v>#VALUE!</v>
      </c>
      <c r="ID9" t="e">
        <f>AND(道具类型!B1,"AAAAAE+z+u0=")</f>
        <v>#VALUE!</v>
      </c>
      <c r="IE9" t="e">
        <f>AND(道具类型!C1,"AAAAAE+z+u4=")</f>
        <v>#VALUE!</v>
      </c>
      <c r="IF9">
        <f>IF(道具类型!2:2,"AAAAAE+z+u8=",0)</f>
        <v>0</v>
      </c>
      <c r="IG9" t="e">
        <f>AND(道具类型!A2,"AAAAAE+z+vA=")</f>
        <v>#VALUE!</v>
      </c>
      <c r="IH9" t="e">
        <f>AND(道具类型!B2,"AAAAAE+z+vE=")</f>
        <v>#VALUE!</v>
      </c>
      <c r="II9">
        <f>IF(道具类型!3:3,"AAAAAE+z+vI=",0)</f>
        <v>0</v>
      </c>
      <c r="IJ9" t="e">
        <f>AND(道具类型!A3,"AAAAAE+z+vM=")</f>
        <v>#VALUE!</v>
      </c>
      <c r="IK9" t="e">
        <f>AND(道具类型!B3,"AAAAAE+z+vQ=")</f>
        <v>#VALUE!</v>
      </c>
      <c r="IL9">
        <f>IF(道具类型!4:4,"AAAAAE+z+vU=",0)</f>
        <v>0</v>
      </c>
      <c r="IM9" t="e">
        <f>AND(道具类型!A4,"AAAAAE+z+vY=")</f>
        <v>#VALUE!</v>
      </c>
      <c r="IN9" t="e">
        <f>AND(道具类型!B4,"AAAAAE+z+vc=")</f>
        <v>#VALUE!</v>
      </c>
      <c r="IO9">
        <f>IF(道具类型!A:A,"AAAAAE+z+vg=",0)</f>
        <v>0</v>
      </c>
      <c r="IP9">
        <f>IF(道具类型!B:B,"AAAAAE+z+vk=",0)</f>
        <v>0</v>
      </c>
      <c r="IQ9">
        <f>IF(道具类型!C:C,"AAAAAE+z+vo=",0)</f>
        <v>0</v>
      </c>
      <c r="IR9">
        <f>IF(刷新几率表!1:1,"AAAAAE+z+vs=",0)</f>
        <v>0</v>
      </c>
      <c r="IS9" t="e">
        <f>AND(刷新几率表!A1,"AAAAAE+z+vw=")</f>
        <v>#VALUE!</v>
      </c>
      <c r="IT9" t="e">
        <f>AND(刷新几率表!B1,"AAAAAE+z+v0=")</f>
        <v>#VALUE!</v>
      </c>
      <c r="IU9" t="e">
        <f>AND(刷新几率表!C1,"AAAAAE+z+v4=")</f>
        <v>#VALUE!</v>
      </c>
      <c r="IV9" t="e">
        <f>AND(刷新几率表!D1,"AAAAAE+z+v8=")</f>
        <v>#VALUE!</v>
      </c>
    </row>
    <row r="10" spans="1:256">
      <c r="A10" t="e">
        <f>AND(刷新几率表!E1,"AAAAAD7a+wA=")</f>
        <v>#VALUE!</v>
      </c>
      <c r="B10" t="e">
        <f>AND(刷新几率表!F1,"AAAAAD7a+wE=")</f>
        <v>#VALUE!</v>
      </c>
      <c r="C10" t="e">
        <f>AND(刷新几率表!G1,"AAAAAD7a+wI=")</f>
        <v>#VALUE!</v>
      </c>
      <c r="D10" t="e">
        <f>AND(刷新几率表!H1,"AAAAAD7a+wM=")</f>
        <v>#VALUE!</v>
      </c>
      <c r="E10">
        <f>IF(刷新几率表!A:A,"AAAAAD7a+wQ=",0)</f>
        <v>0</v>
      </c>
      <c r="F10" t="e">
        <f>IF(刷新几率表!B:B,"AAAAAD7a+wU=",0)</f>
        <v>#VALUE!</v>
      </c>
      <c r="G10">
        <f>IF(刷新几率表!C:C,"AAAAAD7a+wY=",0)</f>
        <v>0</v>
      </c>
      <c r="H10">
        <f>IF(刷新几率表!D:D,"AAAAAD7a+wc=",0)</f>
        <v>0</v>
      </c>
      <c r="I10">
        <f>IF(刷新几率表!E:E,"AAAAAD7a+wg=",0)</f>
        <v>0</v>
      </c>
      <c r="J10">
        <f>IF(刷新几率表!F:F,"AAAAAD7a+wk=",0)</f>
        <v>0</v>
      </c>
      <c r="K10" t="str">
        <f>IF(刷新几率表!G:G,"AAAAAD7a+wo=",0)</f>
        <v>AAAAAD7a+wo=</v>
      </c>
      <c r="L10">
        <f>IF(刷新几率表!H:H,"AAAAAD7a+ws=",0)</f>
        <v>0</v>
      </c>
      <c r="M10" t="e">
        <f>IF(拍卖表!1:1,"AAAAAD7a+ww=",0)</f>
        <v>#VALUE!</v>
      </c>
      <c r="N10" t="e">
        <f>AND(拍卖表!A1,"AAAAAD7a+w0=")</f>
        <v>#VALUE!</v>
      </c>
      <c r="O10" t="e">
        <f>AND(拍卖表!B1,"AAAAAD7a+w4=")</f>
        <v>#VALUE!</v>
      </c>
      <c r="P10" t="e">
        <f>AND(拍卖表!C1,"AAAAAD7a+w8=")</f>
        <v>#VALUE!</v>
      </c>
      <c r="Q10" t="e">
        <f>AND(拍卖表!D1,"AAAAAD7a+xA=")</f>
        <v>#VALUE!</v>
      </c>
      <c r="R10" t="e">
        <f>AND(拍卖表!E1,"AAAAAD7a+xE=")</f>
        <v>#VALUE!</v>
      </c>
      <c r="S10" t="e">
        <f>AND(拍卖表!F1,"AAAAAD7a+xI=")</f>
        <v>#VALUE!</v>
      </c>
      <c r="T10" t="e">
        <f>AND(拍卖表!G1,"AAAAAD7a+xM=")</f>
        <v>#VALUE!</v>
      </c>
      <c r="U10" t="e">
        <f>AND(拍卖表!H1,"AAAAAD7a+xQ=")</f>
        <v>#VALUE!</v>
      </c>
      <c r="V10" t="e">
        <f>AND(拍卖表!I1,"AAAAAD7a+xU=")</f>
        <v>#VALUE!</v>
      </c>
      <c r="W10" t="e">
        <f>AND(拍卖表!J1,"AAAAAD7a+xY=")</f>
        <v>#VALUE!</v>
      </c>
      <c r="X10" t="e">
        <f>AND(拍卖表!K1,"AAAAAD7a+xc=")</f>
        <v>#VALUE!</v>
      </c>
      <c r="Y10" t="e">
        <f>AND(拍卖表!L1,"AAAAAD7a+xg=")</f>
        <v>#VALUE!</v>
      </c>
      <c r="Z10" t="e">
        <f>AND(拍卖表!M1,"AAAAAD7a+xk=")</f>
        <v>#VALUE!</v>
      </c>
      <c r="AA10" t="e">
        <f>AND(拍卖表!N1,"AAAAAD7a+xo=")</f>
        <v>#VALUE!</v>
      </c>
      <c r="AB10" t="e">
        <f>AND(拍卖表!O1,"AAAAAD7a+xs=")</f>
        <v>#VALUE!</v>
      </c>
      <c r="AC10" t="e">
        <f>AND(拍卖表!P1,"AAAAAD7a+xw=")</f>
        <v>#VALUE!</v>
      </c>
      <c r="AD10">
        <f>IF(拍卖表!A:A,"AAAAAD7a+x0=",0)</f>
        <v>0</v>
      </c>
      <c r="AE10">
        <f>IF(拍卖表!B:B,"AAAAAD7a+x4=",0)</f>
        <v>0</v>
      </c>
      <c r="AF10">
        <f>IF(拍卖表!C:C,"AAAAAD7a+x8=",0)</f>
        <v>0</v>
      </c>
      <c r="AG10">
        <f>IF(拍卖表!D:D,"AAAAAD7a+yA=",0)</f>
        <v>0</v>
      </c>
      <c r="AH10">
        <f>IF(拍卖表!E:E,"AAAAAD7a+yE=",0)</f>
        <v>0</v>
      </c>
      <c r="AI10">
        <f>IF(拍卖表!F:F,"AAAAAD7a+yI=",0)</f>
        <v>0</v>
      </c>
      <c r="AJ10">
        <f>IF(拍卖表!G:G,"AAAAAD7a+yM=",0)</f>
        <v>0</v>
      </c>
      <c r="AK10">
        <f>IF(拍卖表!H:H,"AAAAAD7a+yQ=",0)</f>
        <v>0</v>
      </c>
      <c r="AL10">
        <f>IF(拍卖表!I:I,"AAAAAD7a+yU=",0)</f>
        <v>0</v>
      </c>
      <c r="AM10">
        <f>IF(拍卖表!J:J,"AAAAAD7a+yY=",0)</f>
        <v>0</v>
      </c>
      <c r="AN10">
        <f>IF(拍卖表!K:K,"AAAAAD7a+yc=",0)</f>
        <v>0</v>
      </c>
      <c r="AO10">
        <f>IF(拍卖表!L:L,"AAAAAD7a+yg=",0)</f>
        <v>0</v>
      </c>
      <c r="AP10">
        <f>IF(拍卖表!M:M,"AAAAAD7a+yk=",0)</f>
        <v>0</v>
      </c>
      <c r="AQ10">
        <f>IF(拍卖表!N:N,"AAAAAD7a+yo=",0)</f>
        <v>0</v>
      </c>
      <c r="AR10">
        <f>IF(拍卖表!O:O,"AAAAAD7a+ys=",0)</f>
        <v>0</v>
      </c>
      <c r="AS10">
        <f>IF(拍卖表!P:P,"AAAAAD7a+yw=",0)</f>
        <v>0</v>
      </c>
      <c r="AT10">
        <f>IF(皮肤表!1:1,"AAAAAD7a+y0=",0)</f>
        <v>0</v>
      </c>
      <c r="AU10" t="e">
        <f>AND(皮肤表!A1,"AAAAAD7a+y4=")</f>
        <v>#VALUE!</v>
      </c>
      <c r="AV10" t="e">
        <f>AND(皮肤表!B1,"AAAAAD7a+y8=")</f>
        <v>#VALUE!</v>
      </c>
      <c r="AW10" t="e">
        <f>AND(皮肤表!C1,"AAAAAD7a+zA=")</f>
        <v>#VALUE!</v>
      </c>
      <c r="AX10" t="e">
        <f>AND(皮肤表!D1,"AAAAAD7a+zE=")</f>
        <v>#VALUE!</v>
      </c>
      <c r="AY10" t="e">
        <f>AND(皮肤表!E1,"AAAAAD7a+zI=")</f>
        <v>#VALUE!</v>
      </c>
      <c r="AZ10" t="e">
        <f>AND(皮肤表!F1,"AAAAAD7a+zM=")</f>
        <v>#VALUE!</v>
      </c>
      <c r="BA10">
        <f>IF(皮肤表!A:A,"AAAAAD7a+zQ=",0)</f>
        <v>0</v>
      </c>
      <c r="BB10">
        <f>IF(皮肤表!B:B,"AAAAAD7a+zU=",0)</f>
        <v>0</v>
      </c>
      <c r="BC10">
        <f>IF(皮肤表!C:C,"AAAAAD7a+zY=",0)</f>
        <v>0</v>
      </c>
      <c r="BD10">
        <f>IF(皮肤表!D:D,"AAAAAD7a+zc=",0)</f>
        <v>0</v>
      </c>
      <c r="BE10">
        <f>IF(皮肤表!E:E,"AAAAAD7a+zg=",0)</f>
        <v>0</v>
      </c>
      <c r="BF10">
        <f>IF(皮肤表!F:F,"AAAAAD7a+zk=",0)</f>
        <v>0</v>
      </c>
    </row>
    <row r="11" spans="1:256">
      <c r="A11" t="e">
        <f>AND(装备表!#REF!,"AAAAADv/nwA=")</f>
        <v>#REF!</v>
      </c>
      <c r="B11">
        <f>IF(装备表!26:26,"AAAAADv/nwE=",0)</f>
        <v>0</v>
      </c>
      <c r="C11" t="e">
        <f>AND(装备表!A26,"AAAAADv/nwI=")</f>
        <v>#VALUE!</v>
      </c>
      <c r="D11">
        <f>IF(装备表!28:28,"AAAAADv/nwM=",0)</f>
        <v>0</v>
      </c>
      <c r="E11" t="e">
        <f>AND(装备表!A28,"AAAAADv/nwQ=")</f>
        <v>#VALUE!</v>
      </c>
      <c r="F11" t="e">
        <f>AND(装备表!#REF!,"AAAAADv/nwU=")</f>
        <v>#REF!</v>
      </c>
      <c r="G11">
        <f>IF(装备表!35:35,"AAAAADv/nwY=",0)</f>
        <v>0</v>
      </c>
      <c r="H11" t="e">
        <f>AND(装备表!A35,"AAAAADv/nwc=")</f>
        <v>#VALUE!</v>
      </c>
      <c r="I11" t="e">
        <f>AND(装备表!#REF!,"AAAAADv/nwg=")</f>
        <v>#REF!</v>
      </c>
      <c r="J11">
        <f>IF(装备表!36:36,"AAAAADv/nwk=",0)</f>
        <v>0</v>
      </c>
      <c r="K11" t="e">
        <f>AND(装备表!A36,"AAAAADv/nwo=")</f>
        <v>#VALUE!</v>
      </c>
      <c r="L11" t="e">
        <f>AND(装备表!#REF!,"AAAAADv/nws=")</f>
        <v>#REF!</v>
      </c>
      <c r="M11">
        <f>IF(装备表!37:37,"AAAAADv/nww=",0)</f>
        <v>0</v>
      </c>
      <c r="N11" t="e">
        <f>AND(装备表!A37,"AAAAADv/nw0=")</f>
        <v>#VALUE!</v>
      </c>
      <c r="O11" t="e">
        <f>AND(装备表!#REF!,"AAAAADv/nw4=")</f>
        <v>#REF!</v>
      </c>
      <c r="P11">
        <f>IF(装备表!38:38,"AAAAADv/nw8=",0)</f>
        <v>0</v>
      </c>
      <c r="Q11" t="e">
        <f>AND(装备表!A38,"AAAAADv/nxA=")</f>
        <v>#VALUE!</v>
      </c>
      <c r="R11" t="e">
        <f>AND(装备表!#REF!,"AAAAADv/nxE=")</f>
        <v>#REF!</v>
      </c>
      <c r="S11" t="e">
        <f>IF(装备表!39:39,"AAAAADv/nxI=",0)</f>
        <v>#VALUE!</v>
      </c>
      <c r="T11" t="e">
        <f>AND(装备表!A39,"AAAAADv/nxM=")</f>
        <v>#VALUE!</v>
      </c>
      <c r="U11" t="e">
        <f>AND(装备表!#REF!,"AAAAADv/nxQ=")</f>
        <v>#REF!</v>
      </c>
    </row>
  </sheetData>
  <phoneticPr fontId="1" type="noConversion"/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角色表</vt:lpstr>
      <vt:lpstr>职业表</vt:lpstr>
      <vt:lpstr>等级属性</vt:lpstr>
      <vt:lpstr>我方士兵</vt:lpstr>
      <vt:lpstr>技能表</vt:lpstr>
      <vt:lpstr>锻造几率</vt:lpstr>
      <vt:lpstr>建筑物</vt:lpstr>
      <vt:lpstr>装备表</vt:lpstr>
      <vt:lpstr>装备部位</vt:lpstr>
      <vt:lpstr>道具表</vt:lpstr>
      <vt:lpstr>道具类型</vt:lpstr>
      <vt:lpstr>刷新几率表</vt:lpstr>
      <vt:lpstr>拍卖表</vt:lpstr>
      <vt:lpstr>皮肤表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2011-10-09T09:59:16Z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true</vt:lpwstr>
  </property>
  <property fmtid="{D5CDD505-2E9C-101B-9397-08002B2CF9AE}" pid="3" name="Google.Documents.DocumentId">
    <vt:lpwstr>1uu9b1NnRI3aUTNAU0XTpTGb43cpL-f7n2np5lm-gUpk</vt:lpwstr>
  </property>
  <property fmtid="{D5CDD505-2E9C-101B-9397-08002B2CF9AE}" pid="4" name="Google.Documents.RevisionId">
    <vt:lpwstr>09757196987986486310</vt:lpwstr>
  </property>
  <property fmtid="{D5CDD505-2E9C-101B-9397-08002B2CF9AE}" pid="5" name="Google.Documents.PreviousRevisionId">
    <vt:lpwstr>01191074283123404692</vt:lpwstr>
  </property>
  <property fmtid="{D5CDD505-2E9C-101B-9397-08002B2CF9AE}" pid="6" name="Google.Documents.PluginVersion">
    <vt:lpwstr>2.0.2154.5604</vt:lpwstr>
  </property>
  <property fmtid="{D5CDD505-2E9C-101B-9397-08002B2CF9AE}" pid="7" name="Google.Documents.MergeIncapabilityFlags">
    <vt:i4>0</vt:i4>
  </property>
</Properties>
</file>