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tabRatio="917" firstSheet="84" activeTab="97"/>
  </bookViews>
  <sheets>
    <sheet name="封面" sheetId="67" r:id="rId1"/>
    <sheet name="目录" sheetId="68" r:id="rId2"/>
    <sheet name="期间费用" sheetId="140" r:id="rId3"/>
    <sheet name="合并管理费用表09" sheetId="4" r:id="rId4"/>
    <sheet name="G-高新" sheetId="42" r:id="rId5"/>
    <sheet name="G-有机硅" sheetId="43" r:id="rId6"/>
    <sheet name="G-天津" sheetId="50" r:id="rId7"/>
    <sheet name="G-宁德" sheetId="71" r:id="rId8"/>
    <sheet name="G-香港" sheetId="90" r:id="rId9"/>
    <sheet name="G-中科" sheetId="73" r:id="rId10"/>
    <sheet name="G-江苏天赐" sheetId="128" r:id="rId11"/>
    <sheet name="G-创新中心" sheetId="93" r:id="rId12"/>
    <sheet name="G-中天鸿锂" sheetId="129" r:id="rId13"/>
    <sheet name="G-宜春天赐" sheetId="96" r:id="rId14"/>
    <sheet name="G-浙江艾德" sheetId="111" r:id="rId15"/>
    <sheet name="G-美思" sheetId="95" r:id="rId16"/>
    <sheet name="G-九江" sheetId="44" r:id="rId17"/>
    <sheet name="G-天祺" sheetId="49" r:id="rId18"/>
    <sheet name="G-中硝" sheetId="124" r:id="rId19"/>
    <sheet name="G-张家港吉慕特" sheetId="75" r:id="rId20"/>
    <sheet name="G-九江吉慕特" sheetId="87" r:id="rId21"/>
    <sheet name="G-上海吉慕特" sheetId="76" r:id="rId22"/>
    <sheet name="G-安徽天孚" sheetId="120" r:id="rId23"/>
    <sheet name="G-池州天赐" sheetId="113" r:id="rId24"/>
    <sheet name="G-九江矿业" sheetId="123" r:id="rId25"/>
    <sheet name="G-捷克天赐" sheetId="137" r:id="rId26"/>
    <sheet name="G-浙江天硕" sheetId="135" r:id="rId27"/>
    <sheet name="合并研究开发费用表10" sheetId="5" r:id="rId28"/>
    <sheet name="Y-高新" sheetId="58" r:id="rId29"/>
    <sheet name="Y-有机硅" sheetId="57" state="hidden" r:id="rId30"/>
    <sheet name="Y-美思" sheetId="104" r:id="rId31"/>
    <sheet name="Y-宜春天赐" sheetId="97" r:id="rId32"/>
    <sheet name="Y-上海吉慕特" sheetId="89" r:id="rId33"/>
    <sheet name="Y-张家港吉慕特" sheetId="83" r:id="rId34"/>
    <sheet name="Y-创新中心" sheetId="105" state="hidden" r:id="rId35"/>
    <sheet name="Y-中科" sheetId="84" r:id="rId36"/>
    <sheet name="Y-九江" sheetId="56" r:id="rId37"/>
    <sheet name="Y-安徽天孚" sheetId="119" state="hidden" r:id="rId38"/>
    <sheet name="Y-宁德" sheetId="92" r:id="rId39"/>
    <sheet name="Y-天津" sheetId="54" r:id="rId40"/>
    <sheet name="Y-中天鸿锂" sheetId="130" r:id="rId41"/>
    <sheet name="合并销售费用12" sheetId="7" r:id="rId42"/>
    <sheet name="X-高新" sheetId="24" r:id="rId43"/>
    <sheet name="X-有机硅" sheetId="21" r:id="rId44"/>
    <sheet name="X-香港" sheetId="86" r:id="rId45"/>
    <sheet name="X-九江" sheetId="12" r:id="rId46"/>
    <sheet name="X-天祺" sheetId="109" r:id="rId47"/>
    <sheet name="X-九江矿业" sheetId="134" r:id="rId48"/>
    <sheet name="X-中硝" sheetId="126" r:id="rId49"/>
    <sheet name="X-宁德" sheetId="110" r:id="rId50"/>
    <sheet name="X-天津" sheetId="61" r:id="rId51"/>
    <sheet name="X-美思" sheetId="99" r:id="rId52"/>
    <sheet name="X-宜春天赐" sheetId="98" r:id="rId53"/>
    <sheet name="X-张家港吉慕特" sheetId="77" r:id="rId54"/>
    <sheet name="X-上海吉慕特" sheetId="78" r:id="rId55"/>
    <sheet name="X-捷克天赐" sheetId="139" r:id="rId56"/>
    <sheet name="X-安徽天孚" sheetId="118" r:id="rId57"/>
    <sheet name="X-池州天赐" sheetId="114" r:id="rId58"/>
    <sheet name="X-中天鸿锂" sheetId="131" r:id="rId59"/>
    <sheet name="合并财务费用13" sheetId="8" r:id="rId60"/>
    <sheet name="C-高新" sheetId="27" r:id="rId61"/>
    <sheet name="C-上海吉慕特" sheetId="80" r:id="rId62"/>
    <sheet name="C-九江吉慕特" sheetId="88" r:id="rId63"/>
    <sheet name="C-张家港吉慕特" sheetId="79" r:id="rId64"/>
    <sheet name="C-浙江艾德" sheetId="112" r:id="rId65"/>
    <sheet name="C-宜春天赐" sheetId="100" r:id="rId66"/>
    <sheet name="C-中硝" sheetId="125" r:id="rId67"/>
    <sheet name="C-江苏天赐" sheetId="127" r:id="rId68"/>
    <sheet name="C-九江矿业" sheetId="121" r:id="rId69"/>
    <sheet name="C-中天鸿锂" sheetId="132" r:id="rId70"/>
    <sheet name="C-九江" sheetId="34" r:id="rId71"/>
    <sheet name="C-安徽天孚" sheetId="116" r:id="rId72"/>
    <sheet name="C-池州天赐" sheetId="115" r:id="rId73"/>
    <sheet name="C-有机硅" sheetId="13" r:id="rId74"/>
    <sheet name="C-天津" sheetId="40" r:id="rId75"/>
    <sheet name="C-中科" sheetId="74" r:id="rId76"/>
    <sheet name="C-美思" sheetId="101" r:id="rId77"/>
    <sheet name="C-宁德" sheetId="72" r:id="rId78"/>
    <sheet name="C-创新中心" sheetId="94" r:id="rId79"/>
    <sheet name="C-香港" sheetId="85" r:id="rId80"/>
    <sheet name="C-天祺" sheetId="64" r:id="rId81"/>
    <sheet name="C-捷克天赐" sheetId="138" r:id="rId82"/>
    <sheet name="C-浙江天硕" sheetId="136" r:id="rId83"/>
    <sheet name="合并制造费用11" sheetId="6" r:id="rId84"/>
    <sheet name="Z-高新" sheetId="28" r:id="rId85"/>
    <sheet name="Z-九江" sheetId="30" r:id="rId86"/>
    <sheet name="Z-天祺" sheetId="106" r:id="rId87"/>
    <sheet name="Z-池州天赐" sheetId="122" r:id="rId88"/>
    <sheet name="Z-安徽天孚" sheetId="117" r:id="rId89"/>
    <sheet name="Z-中硝" sheetId="18" r:id="rId90"/>
    <sheet name="Z-天津" sheetId="65" r:id="rId91"/>
    <sheet name="Z-宁德" sheetId="91" r:id="rId92"/>
    <sheet name="Z-有机硅" sheetId="10" state="hidden" r:id="rId93"/>
    <sheet name="Z-宜春天赐" sheetId="102" r:id="rId94"/>
    <sheet name="Z-美思" sheetId="103" r:id="rId95"/>
    <sheet name="Z-上海吉慕特" sheetId="82" r:id="rId96"/>
    <sheet name="Z-张家港吉慕特" sheetId="81" r:id="rId97"/>
    <sheet name="Z-中天鸿锂" sheetId="133" r:id="rId98"/>
  </sheets>
  <externalReferences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目录!$A$3:$B$100</definedName>
    <definedName name="_xlnm._FilterDatabase" localSheetId="2" hidden="1">期间费用!$A$2:$O$32</definedName>
    <definedName name="_xlnm._FilterDatabase" localSheetId="3" hidden="1">合并管理费用表09!$A$5:$S$99</definedName>
    <definedName name="_xlnm._FilterDatabase" localSheetId="4" hidden="1">'G-高新'!$A$5:$S$101</definedName>
    <definedName name="_xlnm._FilterDatabase" localSheetId="6" hidden="1">'G-天津'!$A$5:$S$102</definedName>
    <definedName name="_xlnm._FilterDatabase" localSheetId="9" hidden="1">'G-中科'!$A$5:$S$100</definedName>
    <definedName name="_xlnm._FilterDatabase" localSheetId="10" hidden="1">'G-江苏天赐'!$A$5:$S$100</definedName>
    <definedName name="_xlnm._FilterDatabase" localSheetId="13" hidden="1">'G-宜春天赐'!$A$5:$S$100</definedName>
    <definedName name="_xlnm._FilterDatabase" localSheetId="14" hidden="1">'G-浙江艾德'!$A$5:$S$101</definedName>
    <definedName name="_xlnm._FilterDatabase" localSheetId="15" hidden="1">'G-美思'!$A$5:$S$100</definedName>
    <definedName name="_xlnm._FilterDatabase" localSheetId="16" hidden="1">'G-九江'!$A$5:$S$100</definedName>
    <definedName name="_xlnm._FilterDatabase" localSheetId="18" hidden="1">'G-中硝'!$A$5:$S$100</definedName>
    <definedName name="_xlnm._FilterDatabase" localSheetId="24" hidden="1">'G-九江矿业'!$A$5:$S$100</definedName>
    <definedName name="_xlnm._FilterDatabase" localSheetId="27" hidden="1">合并研究开发费用表10!$A$5:$Q$97</definedName>
    <definedName name="_xlnm._FilterDatabase" localSheetId="28" hidden="1">'Y-高新'!$A$5:$R$99</definedName>
    <definedName name="_xlnm._FilterDatabase" localSheetId="31" hidden="1">'Y-宜春天赐'!$A$5:$Q$97</definedName>
    <definedName name="_xlnm._FilterDatabase" localSheetId="41" hidden="1">合并销售费用12!$A$5:$S$103</definedName>
    <definedName name="_xlnm._FilterDatabase" localSheetId="42" hidden="1">'X-高新'!$B$5:$P$109</definedName>
    <definedName name="_xlnm._FilterDatabase" localSheetId="43" hidden="1">'X-有机硅'!$B$5:$P$101</definedName>
    <definedName name="_xlnm._FilterDatabase" localSheetId="44" hidden="1">'X-香港'!$B$5:$P$101</definedName>
    <definedName name="_xlnm._FilterDatabase" localSheetId="45" hidden="1">'X-九江'!$A$5:$Q$108</definedName>
    <definedName name="_xlnm._FilterDatabase" localSheetId="46" hidden="1">'X-天祺'!$B$5:$P$103</definedName>
    <definedName name="_xlnm._FilterDatabase" localSheetId="47" hidden="1">'X-九江矿业'!$A$5:$O$106</definedName>
    <definedName name="_xlnm._FilterDatabase" localSheetId="48" hidden="1">'X-中硝'!$B$5:$P$108</definedName>
    <definedName name="_xlnm._FilterDatabase" localSheetId="49" hidden="1">'X-宁德'!$B$5:$P$103</definedName>
    <definedName name="_xlnm._FilterDatabase" localSheetId="51" hidden="1">'X-美思'!$B$5:$P$94</definedName>
    <definedName name="_xlnm._FilterDatabase" localSheetId="53" hidden="1">'X-张家港吉慕特'!$B$5:$P$94</definedName>
    <definedName name="_xlnm._FilterDatabase" localSheetId="54" hidden="1">'X-上海吉慕特'!$B$5:$P$94</definedName>
    <definedName name="_xlnm._FilterDatabase" localSheetId="55" hidden="1">'X-捷克天赐'!$B$5:$P$103</definedName>
    <definedName name="_xlnm._FilterDatabase" localSheetId="56" hidden="1">'X-安徽天孚'!$B$5:$P$106</definedName>
    <definedName name="_xlnm._FilterDatabase" localSheetId="57" hidden="1">'X-池州天赐'!$B$5:$P$103</definedName>
    <definedName name="_xlnm._FilterDatabase" localSheetId="58" hidden="1">'X-中天鸿锂'!$B$5:$P$103</definedName>
    <definedName name="_xlnm._FilterDatabase" localSheetId="85" hidden="1">'Z-九江'!$A$5:$Q$98</definedName>
    <definedName name="_xlnm._FilterDatabase" localSheetId="86" hidden="1">'Z-天祺'!$A$5:$Q$103</definedName>
    <definedName name="_xlnm._FilterDatabase" localSheetId="87" hidden="1">'Z-池州天赐'!$A$5:$Q$102</definedName>
    <definedName name="_xlnm._FilterDatabase" localSheetId="88" hidden="1">'Z-安徽天孚'!$A$5:$Q$101</definedName>
    <definedName name="_xlnm._FilterDatabase" localSheetId="89" hidden="1">'Z-中硝'!$A$5:$Q$102</definedName>
    <definedName name="_xlnm._FilterDatabase" localSheetId="91" hidden="1">'Z-宁德'!$A$5:$Q$103</definedName>
    <definedName name="_xlnm._FilterDatabase" localSheetId="92" hidden="1">'Z-有机硅'!$A$5:$O$102</definedName>
    <definedName name="_xlnm._FilterDatabase" localSheetId="94" hidden="1">'Z-美思'!$A$5:$Q$103</definedName>
    <definedName name="_xlnm._FilterDatabase" localSheetId="95" hidden="1">'Z-上海吉慕特'!$A$5:$Q$103</definedName>
    <definedName name="_xlnm._FilterDatabase" localSheetId="96" hidden="1">'Z-张家港吉慕特'!$A$5:$Q$103</definedName>
    <definedName name="_xlnm._FilterDatabase" localSheetId="97" hidden="1">'Z-中天鸿锂'!$A$5:$Q$103</definedName>
    <definedName name="_">[1]年前十大!$A$1:$CD$4268</definedName>
    <definedName name="__w6">[2]年前十大!$A$1:$O$40</definedName>
    <definedName name="_02">[1]年前十大!$A$1:$F$65</definedName>
    <definedName name="_03">[1]年前十大!$A$1:$F$65</definedName>
    <definedName name="_04">[1]年前十大!$A$2:$F$72</definedName>
    <definedName name="_06">[1]年前十大!$A$80:$F$80</definedName>
    <definedName name="_07">[1]年前十大!$A$83:$F$83</definedName>
    <definedName name="_08">[1]年前十大!$A$84:$F$84</definedName>
    <definedName name="_09">[1]年前十大!$A$84:$F$84</definedName>
    <definedName name="_10">[1]年前十大!$A$84:$F$84</definedName>
    <definedName name="_10月">#N/A</definedName>
    <definedName name="_11">[1]年前十大!$A$85:$F$85</definedName>
    <definedName name="_11月">#N/A</definedName>
    <definedName name="_12">[1]年前十大!$A$86:$F$86</definedName>
    <definedName name="_12月">[1]年前十大!$A$1:$IV$65536</definedName>
    <definedName name="_1月">[1]年前十大!$A$1:$J$2000</definedName>
    <definedName name="_211">[1]年前十大!$A$1:$H$22</definedName>
    <definedName name="_2月">[1]年前十大!$A$1:$J$2000</definedName>
    <definedName name="_3月">[1]年前十大!$A$1:$IV$65536</definedName>
    <definedName name="_4月">[1]年前十大!$A$1:$IV$65536</definedName>
    <definedName name="_5月">[1]年前十大!$A$1:$IV$65536</definedName>
    <definedName name="_6月">[1]年前十大!$A$1:$IV$65536</definedName>
    <definedName name="_7月">[1]年前十大!$A$1:$IV$65536</definedName>
    <definedName name="_8月">[1]年前十大!$A$1:$IV$65536</definedName>
    <definedName name="_9月">[1]年前十大!$A$1:$IV$65536</definedName>
    <definedName name="_xlnm._FilterDatabase" localSheetId="71" hidden="1">#REF!</definedName>
    <definedName name="_xlnm._FilterDatabase" localSheetId="72" hidden="1">#REF!</definedName>
    <definedName name="_xlnm._FilterDatabase" localSheetId="78" hidden="1">#REF!</definedName>
    <definedName name="_xlnm._FilterDatabase" localSheetId="67" hidden="1">#REF!</definedName>
    <definedName name="_xlnm._FilterDatabase" localSheetId="81" hidden="1">#REF!</definedName>
    <definedName name="_xlnm._FilterDatabase" localSheetId="62" hidden="1">#REF!</definedName>
    <definedName name="_xlnm._FilterDatabase" localSheetId="68" hidden="1">#REF!</definedName>
    <definedName name="_xlnm._FilterDatabase" localSheetId="76" hidden="1">#REF!</definedName>
    <definedName name="_xlnm._FilterDatabase" localSheetId="77" hidden="1">#REF!</definedName>
    <definedName name="_xlnm._FilterDatabase" localSheetId="61" hidden="1">#REF!</definedName>
    <definedName name="_xlnm._FilterDatabase" localSheetId="74" hidden="1">#REF!</definedName>
    <definedName name="_xlnm._FilterDatabase" localSheetId="79" hidden="1">#REF!</definedName>
    <definedName name="_xlnm._FilterDatabase" localSheetId="65" hidden="1">#REF!</definedName>
    <definedName name="_xlnm._FilterDatabase" localSheetId="63" hidden="1">#REF!</definedName>
    <definedName name="_xlnm._FilterDatabase" localSheetId="64" hidden="1">#REF!</definedName>
    <definedName name="_xlnm._FilterDatabase" localSheetId="82" hidden="1">#REF!</definedName>
    <definedName name="_xlnm._FilterDatabase" localSheetId="75" hidden="1">#REF!</definedName>
    <definedName name="_xlnm._FilterDatabase" localSheetId="69" hidden="1">#REF!</definedName>
    <definedName name="_xlnm._FilterDatabase" localSheetId="66" hidden="1">#REF!</definedName>
    <definedName name="_xlnm._FilterDatabase" localSheetId="22" hidden="1">#REF!</definedName>
    <definedName name="_xlnm._FilterDatabase" localSheetId="23" hidden="1">#REF!</definedName>
    <definedName name="_xlnm._FilterDatabase" localSheetId="11" hidden="1">#REF!</definedName>
    <definedName name="_xlnm._FilterDatabase" localSheetId="25" hidden="1">'G-捷克天赐'!$A$5:$S$100</definedName>
    <definedName name="_xlnm._FilterDatabase" localSheetId="20" hidden="1">#REF!</definedName>
    <definedName name="_xlnm._FilterDatabase" localSheetId="7" hidden="1">#REF!</definedName>
    <definedName name="_xlnm._FilterDatabase" localSheetId="21" hidden="1">#REF!</definedName>
    <definedName name="_xlnm._FilterDatabase" localSheetId="17" hidden="1">'G-天祺'!$A$5:$S$100</definedName>
    <definedName name="_xlnm._FilterDatabase" localSheetId="8" hidden="1">#REF!</definedName>
    <definedName name="_xlnm._FilterDatabase" localSheetId="19" hidden="1">#REF!</definedName>
    <definedName name="_xlnm._FilterDatabase" localSheetId="26" hidden="1">'G-浙江天硕'!$A$5:$S$100</definedName>
    <definedName name="_xlnm._FilterDatabase" localSheetId="12" hidden="1">#REF!</definedName>
    <definedName name="_xlnm._FilterDatabase" localSheetId="52" hidden="1">'X-宜春天赐'!$B$5:$P$94</definedName>
    <definedName name="_xlnm._FilterDatabase" localSheetId="37" hidden="1">#REF!</definedName>
    <definedName name="_xlnm._FilterDatabase" localSheetId="34" hidden="1">#REF!</definedName>
    <definedName name="_xlnm._FilterDatabase" localSheetId="36" hidden="1">'Y-九江'!$A$5:$R$100</definedName>
    <definedName name="_xlnm._FilterDatabase" localSheetId="30" hidden="1">#REF!</definedName>
    <definedName name="_xlnm._FilterDatabase" localSheetId="38" hidden="1">#REF!</definedName>
    <definedName name="_xlnm._FilterDatabase" localSheetId="32" hidden="1">#REF!</definedName>
    <definedName name="_xlnm._FilterDatabase" localSheetId="33" hidden="1">#REF!</definedName>
    <definedName name="_xlnm._FilterDatabase" localSheetId="35" hidden="1">#REF!</definedName>
    <definedName name="_xlnm._FilterDatabase" localSheetId="40" hidden="1">#REF!</definedName>
    <definedName name="_xlnm._FilterDatabase" localSheetId="84" hidden="1">'Z-高新'!$A$5:$Q$98</definedName>
    <definedName name="_xlnm._FilterDatabase" localSheetId="93" hidden="1">'Z-宜春天赐'!$A$5:$Q$99</definedName>
    <definedName name="_xlnm._FilterDatabase" hidden="1">#REF!</definedName>
    <definedName name="_w6">[1]年前十大!$A$1:$O$40</definedName>
    <definedName name="_查询6">[1]年前十大!$A$5:$G$229</definedName>
    <definedName name="_月份展示">[1]年前十大!$B$1:$D$36</definedName>
    <definedName name="a">[1]年前十大!$A$110:$J$165</definedName>
    <definedName name="ana_salefee_feetype">[1]年前十大!$A$2:$E$6</definedName>
    <definedName name="AUG">[1]年前十大!$A$117:$J$191</definedName>
    <definedName name="b">[1]年前十大!$A$111:$J$169</definedName>
    <definedName name="B.dbf">[1]年前十大!$A$3:$C$22</definedName>
    <definedName name="Base_Pay">#N/A</definedName>
    <definedName name="Base_Pay_25th">#N/A</definedName>
    <definedName name="Base_Pay_50th">#N/A</definedName>
    <definedName name="Base_Pay_75th">#N/A</definedName>
    <definedName name="Base_Pay_Ave">#N/A</definedName>
    <definedName name="Base_Pay_Total_No.">#N/A</definedName>
    <definedName name="BeginMonth">1</definedName>
    <definedName name="BeginMontH_1_">"5"</definedName>
    <definedName name="BeginYear">1999</definedName>
    <definedName name="BeginYeaR_1_">"2002"</definedName>
    <definedName name="BookHt">23</definedName>
    <definedName name="Boss_Adr">""</definedName>
    <definedName name="Boss_ID">""</definedName>
    <definedName name="Boss_Name">""</definedName>
    <definedName name="Boss_Zip">""</definedName>
    <definedName name="CC">[1]年前十大!$A$112:$J$176</definedName>
    <definedName name="cg">[1]年前十大!$C$49</definedName>
    <definedName name="Check0">"ERROR(年初资产负债不平衡！)"</definedName>
    <definedName name="Check1">"C40=G40"</definedName>
    <definedName name="Check2">"ERROR(当前资产负债不平衡！)"</definedName>
    <definedName name="Check3">"D40=H40"</definedName>
    <definedName name="Comp_Adr">""</definedName>
    <definedName name="Comp_Fax">""</definedName>
    <definedName name="Comp_Telphone">""</definedName>
    <definedName name="Comp_Uni_No">""</definedName>
    <definedName name="Comp_Zip">""</definedName>
    <definedName name="CompanyName">"工业企业特殊报表"</definedName>
    <definedName name="CompanyName_">"广州蓝月亮有限公司"</definedName>
    <definedName name="Database" localSheetId="71" hidden="1">[2]年前十大!#REF!</definedName>
    <definedName name="Database" localSheetId="72" hidden="1">[2]年前十大!#REF!</definedName>
    <definedName name="Database" localSheetId="78" hidden="1">[2]年前十大!#REF!</definedName>
    <definedName name="Database" localSheetId="67" hidden="1">[2]年前十大!#REF!</definedName>
    <definedName name="Database" localSheetId="81" hidden="1">[2]年前十大!#REF!</definedName>
    <definedName name="Database" localSheetId="62" hidden="1">[2]年前十大!#REF!</definedName>
    <definedName name="Database" localSheetId="68" hidden="1">[2]年前十大!#REF!</definedName>
    <definedName name="Database" localSheetId="76" hidden="1">[2]年前十大!#REF!</definedName>
    <definedName name="Database" localSheetId="77" hidden="1">[2]年前十大!#REF!</definedName>
    <definedName name="Database" localSheetId="61" hidden="1">[2]年前十大!#REF!</definedName>
    <definedName name="Database" localSheetId="74" hidden="1">[2]年前十大!#REF!</definedName>
    <definedName name="Database" localSheetId="79" hidden="1">[2]年前十大!#REF!</definedName>
    <definedName name="Database" localSheetId="65" hidden="1">[2]年前十大!#REF!</definedName>
    <definedName name="Database" localSheetId="63" hidden="1">[2]年前十大!#REF!</definedName>
    <definedName name="Database" localSheetId="64" hidden="1">[2]年前十大!#REF!</definedName>
    <definedName name="Database" localSheetId="82" hidden="1">[2]年前十大!#REF!</definedName>
    <definedName name="Database" localSheetId="75" hidden="1">[2]年前十大!#REF!</definedName>
    <definedName name="Database" localSheetId="69" hidden="1">[2]年前十大!#REF!</definedName>
    <definedName name="Database" localSheetId="66" hidden="1">[2]年前十大!#REF!</definedName>
    <definedName name="Database" localSheetId="22" hidden="1">[2]年前十大!#REF!</definedName>
    <definedName name="Database" localSheetId="23" hidden="1">[2]年前十大!#REF!</definedName>
    <definedName name="Database" localSheetId="11" hidden="1">[2]年前十大!#REF!</definedName>
    <definedName name="Database" localSheetId="10" hidden="1">[2]年前十大!#REF!</definedName>
    <definedName name="Database" localSheetId="25" hidden="1">[2]年前十大!#REF!</definedName>
    <definedName name="Database" localSheetId="20" hidden="1">[2]年前十大!#REF!</definedName>
    <definedName name="Database" localSheetId="24" hidden="1">[2]年前十大!#REF!</definedName>
    <definedName name="Database" localSheetId="15" hidden="1">[2]年前十大!#REF!</definedName>
    <definedName name="Database" localSheetId="7" hidden="1">[2]年前十大!#REF!</definedName>
    <definedName name="Database" localSheetId="21" hidden="1">[2]年前十大!#REF!</definedName>
    <definedName name="Database" localSheetId="8" hidden="1">[2]年前十大!#REF!</definedName>
    <definedName name="Database" localSheetId="13" hidden="1">[2]年前十大!#REF!</definedName>
    <definedName name="Database" localSheetId="19" hidden="1">[2]年前十大!#REF!</definedName>
    <definedName name="Database" localSheetId="14" hidden="1">[2]年前十大!#REF!</definedName>
    <definedName name="Database" localSheetId="26" hidden="1">[2]年前十大!#REF!</definedName>
    <definedName name="Database" localSheetId="9" hidden="1">[2]年前十大!#REF!</definedName>
    <definedName name="Database" localSheetId="12" hidden="1">[2]年前十大!#REF!</definedName>
    <definedName name="Database" localSheetId="18" hidden="1">[2]年前十大!#REF!</definedName>
    <definedName name="Database" localSheetId="56" hidden="1">[2]年前十大!#REF!</definedName>
    <definedName name="Database" localSheetId="57" hidden="1">[2]年前十大!#REF!</definedName>
    <definedName name="Database" localSheetId="55" hidden="1">[2]年前十大!#REF!</definedName>
    <definedName name="Database" localSheetId="47" hidden="1">[2]年前十大!#REF!</definedName>
    <definedName name="Database" localSheetId="51" hidden="1">[2]年前十大!#REF!</definedName>
    <definedName name="Database" localSheetId="49" hidden="1">[2]年前十大!#REF!</definedName>
    <definedName name="Database" localSheetId="54" hidden="1">[2]年前十大!#REF!</definedName>
    <definedName name="Database" localSheetId="46" hidden="1">[2]年前十大!#REF!</definedName>
    <definedName name="Database" localSheetId="44" hidden="1">[2]年前十大!#REF!</definedName>
    <definedName name="Database" localSheetId="52" hidden="1">[2]年前十大!#REF!</definedName>
    <definedName name="Database" localSheetId="53" hidden="1">[2]年前十大!#REF!</definedName>
    <definedName name="Database" localSheetId="58" hidden="1">[2]年前十大!#REF!</definedName>
    <definedName name="Database" localSheetId="48" hidden="1">[2]年前十大!#REF!</definedName>
    <definedName name="Database" localSheetId="37" hidden="1">[2]年前十大!#REF!</definedName>
    <definedName name="Database" localSheetId="34" hidden="1">[2]年前十大!#REF!</definedName>
    <definedName name="Database" localSheetId="30" hidden="1">[2]年前十大!#REF!</definedName>
    <definedName name="Database" localSheetId="38" hidden="1">[2]年前十大!#REF!</definedName>
    <definedName name="Database" localSheetId="32" hidden="1">[2]年前十大!#REF!</definedName>
    <definedName name="Database" localSheetId="31" hidden="1">[2]年前十大!#REF!</definedName>
    <definedName name="Database" localSheetId="33" hidden="1">[2]年前十大!#REF!</definedName>
    <definedName name="Database" localSheetId="35" hidden="1">[2]年前十大!#REF!</definedName>
    <definedName name="Database" localSheetId="40" hidden="1">[2]年前十大!#REF!</definedName>
    <definedName name="Database" localSheetId="88" hidden="1">[2]年前十大!#REF!</definedName>
    <definedName name="Database" localSheetId="87" hidden="1">[2]年前十大!#REF!</definedName>
    <definedName name="Database" localSheetId="94" hidden="1">[2]年前十大!#REF!</definedName>
    <definedName name="Database" localSheetId="91" hidden="1">[2]年前十大!#REF!</definedName>
    <definedName name="Database" localSheetId="95" hidden="1">[2]年前十大!#REF!</definedName>
    <definedName name="Database" localSheetId="86" hidden="1">[2]年前十大!#REF!</definedName>
    <definedName name="Database" localSheetId="93" hidden="1">[2]年前十大!#REF!</definedName>
    <definedName name="Database" localSheetId="96" hidden="1">[2]年前十大!#REF!</definedName>
    <definedName name="Database" localSheetId="97" hidden="1">[2]年前十大!#REF!</definedName>
    <definedName name="Database" hidden="1">[2]年前十大!#REF!</definedName>
    <definedName name="dbo_PRDT" localSheetId="74">[3]化工原料!#REF!</definedName>
    <definedName name="dbp.prdt" localSheetId="74">[4]化工原料!#REF!</definedName>
    <definedName name="DD">[1]年前十大!$A$113:$J$179</definedName>
    <definedName name="Department">"公司"</definedName>
    <definedName name="DepartmenT_1_">"蓝月亮公司"</definedName>
    <definedName name="dq">[1]年前十大!$C$53</definedName>
    <definedName name="EE">[1]年前十大!$A$114:$J$180</definedName>
    <definedName name="EndDate">"2004年7月31日"</definedName>
    <definedName name="EndMontH_1_">"5"</definedName>
    <definedName name="EndYeaR_1_">"2002"</definedName>
    <definedName name="FF">[1]年前十大!$A$116:$J$189</definedName>
    <definedName name="fix2000.dbf">[1]年前十大!$A$1:$I$264</definedName>
    <definedName name="Fixed_Base_Pay_25th">#N/A</definedName>
    <definedName name="Fixed_Base_Pay_50th">#N/A</definedName>
    <definedName name="Fixed_Base_Pay_75th">#N/A</definedName>
    <definedName name="Fixed_Base_Pay_Ave">#N/A</definedName>
    <definedName name="Fixed_Base_Pay_Total_No.">#N/A</definedName>
    <definedName name="Fixed_Bonus_25th">#N/A</definedName>
    <definedName name="Fixed_Bonus_50th">#N/A</definedName>
    <definedName name="Fixed_Bonus_75th">#N/A</definedName>
    <definedName name="Fixed_Bonus_Ave">#N/A</definedName>
    <definedName name="Fixed_Bonus_Total_No.">#N/A</definedName>
    <definedName name="fixlj2000.dbf">[1]年前十大!$A$1:$I$2953</definedName>
    <definedName name="fm" localSheetId="74">[1]年前十大!#REF!</definedName>
    <definedName name="ft">[1]年前十大!$C$48</definedName>
    <definedName name="GG">[1]年前十大!$A$117:$J$190</definedName>
    <definedName name="Housing_Allowance_25th">#N/A</definedName>
    <definedName name="Housing_Allowance_50th">#N/A</definedName>
    <definedName name="Housing_Allowance_75th">#N/A</definedName>
    <definedName name="Housing_Allowance_Ave">#N/A</definedName>
    <definedName name="Housing_Allowance_Total_No.">#N/A</definedName>
    <definedName name="huidianmei">[1]年前十大!$A$1:$H$37</definedName>
    <definedName name="jc" localSheetId="74">[1]年前十大!#REF!</definedName>
    <definedName name="jt">[1]年前十大!$C$52</definedName>
    <definedName name="lk">[1]年前十大!$C$51</definedName>
    <definedName name="ll">#N/A</definedName>
    <definedName name="m">[1]年前十大!$A$1:$O$40</definedName>
    <definedName name="MAX_COL1">9</definedName>
    <definedName name="MAX_ROW1">43</definedName>
    <definedName name="Meal_Allowance_25th">#N/A</definedName>
    <definedName name="Meal_Allowance_50th">#N/A</definedName>
    <definedName name="Meal_Allowance_75th">#N/A</definedName>
    <definedName name="Meal_Allowance_Ave">#N/A</definedName>
    <definedName name="Meal_Allowance_Total_No.">#N/A</definedName>
    <definedName name="MIN_COL1">1</definedName>
    <definedName name="MIN_ROW1">1</definedName>
    <definedName name="n">[1]年前十大!$A$1:$K$4</definedName>
    <definedName name="No._of_Companies">#N/A</definedName>
    <definedName name="No._of_Incumbents">#N/A</definedName>
    <definedName name="NO_TAX">""</definedName>
    <definedName name="OCT">[1]年前十大!$A$117:$J$193</definedName>
    <definedName name="PaperArea1">"5;23"</definedName>
    <definedName name="_xlnm.Print_Area" hidden="1">'[5]损（蓝5）'!$A$1:$E$23</definedName>
    <definedName name="Print_Area_MI">[1]年前十大!$A$1:$N$92</definedName>
    <definedName name="qtdf">[1]年前十大!$A$1:$J$15</definedName>
    <definedName name="qtjf">[1]年前十大!$A$1:$J$36</definedName>
    <definedName name="Run_Adr">""</definedName>
    <definedName name="Run_Zip">""</definedName>
    <definedName name="RunMonths">"12"</definedName>
    <definedName name="SavedResult">1</definedName>
    <definedName name="SEP">[1]年前十大!$A$117:$J$192</definedName>
    <definedName name="SysDay">"4"</definedName>
    <definedName name="SysMonth">"6"</definedName>
    <definedName name="SysYear">"2002"</definedName>
    <definedName name="tempResult" localSheetId="74">#REF!</definedName>
    <definedName name="ThisMonth">1</definedName>
    <definedName name="ThisYear">1999</definedName>
    <definedName name="Transportation_Allowance_25th">#N/A</definedName>
    <definedName name="Transportation_Allowance_50th">#N/A</definedName>
    <definedName name="Transportation_Allowance_75th">#N/A</definedName>
    <definedName name="Transportation_Allowance_Ave">#N/A</definedName>
    <definedName name="Transportation_Allowance_Total_No.">#N/A</definedName>
    <definedName name="ty">[1]年前十大!$C$50</definedName>
    <definedName name="UFPrn20001010095954">#N/A</definedName>
    <definedName name="UFPrn20001010100030">#N/A</definedName>
    <definedName name="UFPrn20001010100102">[1]年前十大!$A$1:$E$3</definedName>
    <definedName name="UFPrn20001010100331">#N/A</definedName>
    <definedName name="UFPrn20001010100744">[1]年前十大!$A$1:$H$17</definedName>
    <definedName name="UFPrn20001231102643">[1]年前十大!$A$1:$K$4</definedName>
    <definedName name="UFPrn20010325135251">[1]年前十大!$B$1:$I$142</definedName>
    <definedName name="UFPrn20010325135359">[1]年前十大!$A$1:$B$421</definedName>
    <definedName name="UFPrn20020122220714">[1]年前十大!$A$1:$H$91</definedName>
    <definedName name="UFPrn20020129142616">[1]年前十大!$A$1:$M$16</definedName>
    <definedName name="UFPrn20021003133638">[1]年前十大!$A$1:$K$9</definedName>
    <definedName name="UFPrn20031031213005">[1]年前十大!$A$1:$T$658</definedName>
    <definedName name="UFPrn20031101134920">[1]年前十大!$A$1:$I$349</definedName>
    <definedName name="UFPrn20040224143534" localSheetId="74">[1]年前十大!#REF!</definedName>
    <definedName name="UFPrn20040312161029">[1]年前十大!$A$1:$H$52</definedName>
    <definedName name="UFPrn20040312173755">[1]年前十大!$A$1:$H$2799</definedName>
    <definedName name="UFPrn20040409145740" localSheetId="74">[1]年前十大!#REF!</definedName>
    <definedName name="UFPrn20040414095203">[1]年前十大!$A$5:$E$6</definedName>
    <definedName name="UFPrn20041115111847">[1]年前十大!$A$1:$J$12</definedName>
    <definedName name="UFPrn20041124100022">[1]年前十大!$A$1:$K$47</definedName>
    <definedName name="UFPrn20050227094011">[1]年前十大!$A$1:$CK$2827</definedName>
    <definedName name="UFPrn20050227094327">#N/A</definedName>
    <definedName name="UFPrn20050227094841">#N/A</definedName>
    <definedName name="UFPrn20050227095145">[1]年前十大!$A$1:$CK$2273</definedName>
    <definedName name="UFPrn20050227095412">[1]年前十大!$A$1:$CK$1585</definedName>
    <definedName name="UFPrn20050227101104">[1]年前十大!$A$1:$F$223</definedName>
    <definedName name="UFPrn20050306093248">[1]年前十大!$A$1:$K$255</definedName>
    <definedName name="UFPrn20050306093320">[1]年前十大!$A$1:$G$14</definedName>
    <definedName name="UFPrn20050307092313">[1]年前十大!$A$1:$I$7</definedName>
    <definedName name="UFPrn20050307092936">[1]年前十大!$A$1:$I$6</definedName>
    <definedName name="UFPrn20050316141047">[1]年前十大!$A$3:$E$10</definedName>
    <definedName name="UFPrn20060124081925">[1]年前十大!$A$1:$CE$4268</definedName>
    <definedName name="UFPrn20060728115651">[1]年前十大!$A$1:$P$2740</definedName>
    <definedName name="Water">'[6]反应计划(吨)'!$B$3:$B$38</definedName>
    <definedName name="Z_13BD3E98_51DD_11D6_A228_0080C8462058_.wvu.FilterData" localSheetId="74" hidden="1">#REF!</definedName>
    <definedName name="Z_3620368D_5835_11D6_A226_000B0D7B46A0_.wvu.FilterData" localSheetId="74" hidden="1">#REF!</definedName>
    <definedName name="Z_4880AFAB_415F_11D6_A228_0080C8462058_.wvu.Cols" localSheetId="74" hidden="1">#REF!</definedName>
    <definedName name="Z_4880AFAB_415F_11D6_A228_0080C8462058_.wvu.FilterData" localSheetId="74" hidden="1">#REF!</definedName>
    <definedName name="Z_572C67A6_4BB5_11D6_A228_0080C8462058_.wvu.Cols" localSheetId="74" hidden="1">#REF!</definedName>
    <definedName name="Z_572C67A6_4BB5_11D6_A228_0080C8462058_.wvu.FilterData" localSheetId="74" hidden="1">#REF!</definedName>
    <definedName name="Z_572C67AD_4BB5_11D6_A228_0080C8462058_.wvu.FilterData" localSheetId="74" hidden="1">#REF!</definedName>
    <definedName name="Z_572C67B2_4BB5_11D6_A228_0080C8462058_.wvu.FilterData" localSheetId="74" hidden="1">#REF!</definedName>
    <definedName name="Z_572C67B3_4BB5_11D6_A228_0080C8462058_.wvu.FilterData" localSheetId="74" hidden="1">#REF!</definedName>
    <definedName name="Z_72FBFB64_4C66_11D6_A228_0080C8462058_.wvu.FilterData" localSheetId="74" hidden="1">#REF!</definedName>
    <definedName name="Z_75BD7069_575E_11D6_A228_0080C8462058_.wvu.FilterData" localSheetId="74" hidden="1">#REF!</definedName>
    <definedName name="Z_81316D81_58EA_11D6_A226_000B0D7B46A0_.wvu.FilterData" localSheetId="74" hidden="1">#REF!</definedName>
    <definedName name="Z_81316D81_58EA_11D6_A226_000B0D7B46A0_.wvu.FilterData" localSheetId="88" hidden="1">#REF!</definedName>
    <definedName name="Z_81316D81_58EA_11D6_A226_000B0D7B46A0_.wvu.FilterData" localSheetId="87" hidden="1">#REF!</definedName>
    <definedName name="Z_81316D81_58EA_11D6_A226_000B0D7B46A0_.wvu.FilterData" localSheetId="84" hidden="1">#REF!</definedName>
    <definedName name="Z_81316D81_58EA_11D6_A226_000B0D7B46A0_.wvu.FilterData" localSheetId="94" hidden="1">#REF!</definedName>
    <definedName name="Z_81316D81_58EA_11D6_A226_000B0D7B46A0_.wvu.FilterData" localSheetId="91" hidden="1">#REF!</definedName>
    <definedName name="Z_81316D81_58EA_11D6_A226_000B0D7B46A0_.wvu.FilterData" localSheetId="95" hidden="1">#REF!</definedName>
    <definedName name="Z_81316D81_58EA_11D6_A226_000B0D7B46A0_.wvu.FilterData" localSheetId="86" hidden="1">#REF!</definedName>
    <definedName name="Z_81316D81_58EA_11D6_A226_000B0D7B46A0_.wvu.FilterData" localSheetId="93" hidden="1">#REF!</definedName>
    <definedName name="Z_81316D81_58EA_11D6_A226_000B0D7B46A0_.wvu.FilterData" localSheetId="96" hidden="1">#REF!</definedName>
    <definedName name="Z_81316D81_58EA_11D6_A226_000B0D7B46A0_.wvu.FilterData" localSheetId="97" hidden="1">#REF!</definedName>
    <definedName name="Z_81316D83_58EA_11D6_A226_000B0D7B46A0_.wvu.FilterData" localSheetId="74" hidden="1">#REF!</definedName>
    <definedName name="Z_81316D83_58EA_11D6_A226_000B0D7B46A0_.wvu.FilterData" localSheetId="88" hidden="1">#REF!</definedName>
    <definedName name="Z_81316D83_58EA_11D6_A226_000B0D7B46A0_.wvu.FilterData" localSheetId="87" hidden="1">#REF!</definedName>
    <definedName name="Z_81316D83_58EA_11D6_A226_000B0D7B46A0_.wvu.FilterData" localSheetId="84" hidden="1">#REF!</definedName>
    <definedName name="Z_81316D83_58EA_11D6_A226_000B0D7B46A0_.wvu.FilterData" localSheetId="94" hidden="1">#REF!</definedName>
    <definedName name="Z_81316D83_58EA_11D6_A226_000B0D7B46A0_.wvu.FilterData" localSheetId="91" hidden="1">#REF!</definedName>
    <definedName name="Z_81316D83_58EA_11D6_A226_000B0D7B46A0_.wvu.FilterData" localSheetId="95" hidden="1">#REF!</definedName>
    <definedName name="Z_81316D83_58EA_11D6_A226_000B0D7B46A0_.wvu.FilterData" localSheetId="86" hidden="1">#REF!</definedName>
    <definedName name="Z_81316D83_58EA_11D6_A226_000B0D7B46A0_.wvu.FilterData" localSheetId="93" hidden="1">#REF!</definedName>
    <definedName name="Z_81316D83_58EA_11D6_A226_000B0D7B46A0_.wvu.FilterData" localSheetId="96" hidden="1">#REF!</definedName>
    <definedName name="Z_81316D83_58EA_11D6_A226_000B0D7B46A0_.wvu.FilterData" localSheetId="97" hidden="1">#REF!</definedName>
    <definedName name="Z_83639F23_4D43_11D6_A226_000B0D7B46A0_.wvu.FilterData" localSheetId="74" hidden="1">#REF!</definedName>
    <definedName name="Z_83639F23_4D43_11D6_A226_000B0D7B46A0_.wvu.FilterData" localSheetId="88" hidden="1">#REF!</definedName>
    <definedName name="Z_83639F23_4D43_11D6_A226_000B0D7B46A0_.wvu.FilterData" localSheetId="87" hidden="1">#REF!</definedName>
    <definedName name="Z_83639F23_4D43_11D6_A226_000B0D7B46A0_.wvu.FilterData" localSheetId="84" hidden="1">#REF!</definedName>
    <definedName name="Z_83639F23_4D43_11D6_A226_000B0D7B46A0_.wvu.FilterData" localSheetId="94" hidden="1">#REF!</definedName>
    <definedName name="Z_83639F23_4D43_11D6_A226_000B0D7B46A0_.wvu.FilterData" localSheetId="91" hidden="1">#REF!</definedName>
    <definedName name="Z_83639F23_4D43_11D6_A226_000B0D7B46A0_.wvu.FilterData" localSheetId="95" hidden="1">#REF!</definedName>
    <definedName name="Z_83639F23_4D43_11D6_A226_000B0D7B46A0_.wvu.FilterData" localSheetId="86" hidden="1">#REF!</definedName>
    <definedName name="Z_83639F23_4D43_11D6_A226_000B0D7B46A0_.wvu.FilterData" localSheetId="93" hidden="1">#REF!</definedName>
    <definedName name="Z_83639F23_4D43_11D6_A226_000B0D7B46A0_.wvu.FilterData" localSheetId="96" hidden="1">#REF!</definedName>
    <definedName name="Z_83639F23_4D43_11D6_A226_000B0D7B46A0_.wvu.FilterData" localSheetId="97" hidden="1">#REF!</definedName>
    <definedName name="Z_84359783_AC55_11D5_A226_0080C8462058_.wvu.Rows" localSheetId="74" hidden="1">#REF!,#REF!,#REF!,#REF!,#REF!,#REF!,#REF!,#REF!,#REF!,#REF!,#REF!,#REF!,#REF!,#REF!,#REF!,#REF!,#REF!,#REF!,#REF!</definedName>
    <definedName name="Z_84359783_AC55_11D5_A226_0080C8462058_.wvu.Rows" localSheetId="88" hidden="1">#REF!,#REF!,#REF!,#REF!,#REF!,#REF!,#REF!,#REF!,#REF!,#REF!,#REF!,#REF!,#REF!,#REF!,#REF!,#REF!,#REF!,#REF!,#REF!</definedName>
    <definedName name="Z_84359783_AC55_11D5_A226_0080C8462058_.wvu.Rows" localSheetId="87" hidden="1">#REF!,#REF!,#REF!,#REF!,#REF!,#REF!,#REF!,#REF!,#REF!,#REF!,#REF!,#REF!,#REF!,#REF!,#REF!,#REF!,#REF!,#REF!,#REF!</definedName>
    <definedName name="Z_84359783_AC55_11D5_A226_0080C8462058_.wvu.Rows" localSheetId="84" hidden="1">#REF!,#REF!,#REF!,#REF!,#REF!,#REF!,#REF!,#REF!,#REF!,#REF!,#REF!,#REF!,#REF!,#REF!,#REF!,#REF!,#REF!,#REF!,#REF!</definedName>
    <definedName name="Z_84359783_AC55_11D5_A226_0080C8462058_.wvu.Rows" localSheetId="94" hidden="1">#REF!,#REF!,#REF!,#REF!,#REF!,#REF!,#REF!,#REF!,#REF!,#REF!,#REF!,#REF!,#REF!,#REF!,#REF!,#REF!,#REF!,#REF!,#REF!</definedName>
    <definedName name="Z_84359783_AC55_11D5_A226_0080C8462058_.wvu.Rows" localSheetId="91" hidden="1">#REF!,#REF!,#REF!,#REF!,#REF!,#REF!,#REF!,#REF!,#REF!,#REF!,#REF!,#REF!,#REF!,#REF!,#REF!,#REF!,#REF!,#REF!,#REF!</definedName>
    <definedName name="Z_84359783_AC55_11D5_A226_0080C8462058_.wvu.Rows" localSheetId="95" hidden="1">#REF!,#REF!,#REF!,#REF!,#REF!,#REF!,#REF!,#REF!,#REF!,#REF!,#REF!,#REF!,#REF!,#REF!,#REF!,#REF!,#REF!,#REF!,#REF!</definedName>
    <definedName name="Z_84359783_AC55_11D5_A226_0080C8462058_.wvu.Rows" localSheetId="86" hidden="1">#REF!,#REF!,#REF!,#REF!,#REF!,#REF!,#REF!,#REF!,#REF!,#REF!,#REF!,#REF!,#REF!,#REF!,#REF!,#REF!,#REF!,#REF!,#REF!</definedName>
    <definedName name="Z_84359783_AC55_11D5_A226_0080C8462058_.wvu.Rows" localSheetId="93" hidden="1">#REF!,#REF!,#REF!,#REF!,#REF!,#REF!,#REF!,#REF!,#REF!,#REF!,#REF!,#REF!,#REF!,#REF!,#REF!,#REF!,#REF!,#REF!,#REF!</definedName>
    <definedName name="Z_84359783_AC55_11D5_A226_0080C8462058_.wvu.Rows" localSheetId="96" hidden="1">#REF!,#REF!,#REF!,#REF!,#REF!,#REF!,#REF!,#REF!,#REF!,#REF!,#REF!,#REF!,#REF!,#REF!,#REF!,#REF!,#REF!,#REF!,#REF!</definedName>
    <definedName name="Z_84359783_AC55_11D5_A226_0080C8462058_.wvu.Rows" localSheetId="97" hidden="1">#REF!,#REF!,#REF!,#REF!,#REF!,#REF!,#REF!,#REF!,#REF!,#REF!,#REF!,#REF!,#REF!,#REF!,#REF!,#REF!,#REF!,#REF!,#REF!</definedName>
    <definedName name="Z_8B5AE314_5CAB_464D_9090_BC605E646C55_.wvu.FilterData" localSheetId="74" hidden="1">#REF!</definedName>
    <definedName name="Z_8B5AE314_5CAB_464D_9090_BC605E646C55_.wvu.FilterData" localSheetId="88" hidden="1">#REF!</definedName>
    <definedName name="Z_8B5AE314_5CAB_464D_9090_BC605E646C55_.wvu.FilterData" localSheetId="87" hidden="1">#REF!</definedName>
    <definedName name="Z_8B5AE314_5CAB_464D_9090_BC605E646C55_.wvu.FilterData" localSheetId="84" hidden="1">#REF!</definedName>
    <definedName name="Z_8B5AE314_5CAB_464D_9090_BC605E646C55_.wvu.FilterData" localSheetId="94" hidden="1">#REF!</definedName>
    <definedName name="Z_8B5AE314_5CAB_464D_9090_BC605E646C55_.wvu.FilterData" localSheetId="91" hidden="1">#REF!</definedName>
    <definedName name="Z_8B5AE314_5CAB_464D_9090_BC605E646C55_.wvu.FilterData" localSheetId="95" hidden="1">#REF!</definedName>
    <definedName name="Z_8B5AE314_5CAB_464D_9090_BC605E646C55_.wvu.FilterData" localSheetId="86" hidden="1">#REF!</definedName>
    <definedName name="Z_8B5AE314_5CAB_464D_9090_BC605E646C55_.wvu.FilterData" localSheetId="93" hidden="1">#REF!</definedName>
    <definedName name="Z_8B5AE314_5CAB_464D_9090_BC605E646C55_.wvu.FilterData" localSheetId="96" hidden="1">#REF!</definedName>
    <definedName name="Z_8B5AE314_5CAB_464D_9090_BC605E646C55_.wvu.FilterData" localSheetId="97" hidden="1">#REF!</definedName>
    <definedName name="Z_9C835256_F571_11F5_A8E0_00E04C3B5270_.wvu.FilterData" hidden="1">[1]年前十大!$A$1:$H$123</definedName>
    <definedName name="Z_B0C1DE23_56AB_11D6_A226_000B0D7B46A0_.wvu.FilterData" localSheetId="74" hidden="1">#REF!</definedName>
    <definedName name="Z_B0C1DE25_56AB_11D6_A226_000B0D7B46A0_.wvu.FilterData" localSheetId="74" hidden="1">#REF!</definedName>
    <definedName name="Z_D101F34C_55D1_11D6_A226_000B0D7B46A0_.wvu.FilterData" localSheetId="74" hidden="1">#REF!</definedName>
    <definedName name="zjgch2000.dbf">[1]年前十大!$A$1:$I$305</definedName>
    <definedName name="zuling">[1]年前十大!$A$1:$H$36</definedName>
    <definedName name="八吨车" localSheetId="74">'[7]北京 -L'!#REF!</definedName>
    <definedName name="八吨车运费" localSheetId="74">'[8]北京 -L'!#REF!</definedName>
    <definedName name="蚌埠汽车整车运费" localSheetId="74">#REF!</definedName>
    <definedName name="包头2">[1]年前十大!$A$6:$D$139</definedName>
    <definedName name="包头报表">[1]年前十大!$A$6:$D$139</definedName>
    <definedName name="包头报表1">[1]年前十大!$A$6:$D$139</definedName>
    <definedName name="报表">[1]年前十大!$A$1:$E$44</definedName>
    <definedName name="本期报表">[1]年前十大!$A$6:$D$150</definedName>
    <definedName name="本循环科目" hidden="1">[1]年前十大!$D$15:$D$76</definedName>
    <definedName name="表格" localSheetId="74">[1]年前十大!#REF!</definedName>
    <definedName name="补贴收入明细表">#N/A</definedName>
    <definedName name="财务费用">#N/A</definedName>
    <definedName name="产成品">[1]年前十大!$A$1:$I$31</definedName>
    <definedName name="场地租赁合同书">[1]年前十大!$A$5:$H$15</definedName>
    <definedName name="场内联营厂商合同书">[1]年前十大!$A$5:$V$20</definedName>
    <definedName name="出库">[1]年前十大!$A$1:$V$452</definedName>
    <definedName name="存货93期初">[1]年前十大!$C$7</definedName>
    <definedName name="存货93期末">[1]年前十大!$D$7</definedName>
    <definedName name="存货94期初">[1]年前十大!$E$7</definedName>
    <definedName name="存货94期末">[1]年前十大!$F$7</definedName>
    <definedName name="存货95期初">[1]年前十大!$G$7</definedName>
    <definedName name="存货95期末">[1]年前十大!$H$7</definedName>
    <definedName name="存货收发存汇总表">#N/A</definedName>
    <definedName name="待处理固定资产净损失明细表">[1]年前十大!$B$4:$K$7</definedName>
    <definedName name="待处理流动资产净损失明细表">[1]年前十大!$A$3:$K$45</definedName>
    <definedName name="当前明细帐">[1]年前十大!$A$2:$G$33</definedName>
    <definedName name="倒算验证检查">#N/A</definedName>
    <definedName name="地销">[1]年前十大!$A$1:$L$13</definedName>
    <definedName name="短期借款明细表">[1]年前十大!$A$3:$N$31</definedName>
    <definedName name="短期投资_股票_明细表">[1]年前十大!$A$3:$K$30</definedName>
    <definedName name="短期投资_其他_明细表">[1]年前十大!$A$3:$I$30</definedName>
    <definedName name="短期投资_债券_明细表">[1]年前十大!$A$3:$M$31</definedName>
    <definedName name="短期投资跌价损失准备明细表">#N/A</definedName>
    <definedName name="儿童有">[1]年前十大!$A$112:$J$176</definedName>
    <definedName name="发出商品">[1]年前十大!$A$1:$H$7</definedName>
    <definedName name="发生额及余额表">[1]年前十大!$A$1:$H$208</definedName>
    <definedName name="方太">[1]年前十大!$C$48</definedName>
    <definedName name="付培明">[1]年前十大!$B$1:$H$9</definedName>
    <definedName name="负债合计93期末">[1]年前十大!$D$17</definedName>
    <definedName name="负债合计94期末">[1]年前十大!$F$17</definedName>
    <definedName name="负债合计95期末">[1]年前十大!$H$17</definedName>
    <definedName name="高丙员">[1]年前十大!$B$2:$H$104</definedName>
    <definedName name="工程物资明细表">[1]年前十大!$A$4:$I$46</definedName>
    <definedName name="股本明细表">[1]年前十大!$A$3:$Q$36</definedName>
    <definedName name="固定资产及累计折旧明细帐">[1]年前十大!$A$1:$O$40</definedName>
    <definedName name="固定资产及累计折旧明细账">[1]年前十大!$A$4:$L$78</definedName>
    <definedName name="固定资产清单">[1]年前十大!$A$1:$Q$170</definedName>
    <definedName name="管1">"First Department"</definedName>
    <definedName name="管理费用明细表">[1]年前十大!$B$4:$I$7</definedName>
    <definedName name="合并价差明细表">[1]年前十大!$B$4:$G$8</definedName>
    <definedName name="合并权益与母公司勾稽">#N/A</definedName>
    <definedName name="何林春">[1]年前十大!$A$1:$G$7</definedName>
    <definedName name="后出库">[1]年前十大!$A$1:$AC$452</definedName>
    <definedName name="坏帐1">[1]年前十大!$A$1:$I$264</definedName>
    <definedName name="坏帐准备明细表">[1]年前十大!$A$3:$K$14</definedName>
    <definedName name="会计期间">[1]年前十大!$B$4</definedName>
    <definedName name="计划">[1]年前十大!$A$1:$O$40</definedName>
    <definedName name="交际应酬费计税调整数" localSheetId="74">#REF!</definedName>
    <definedName name="交际应酬费实际发生额" localSheetId="74">#REF!</definedName>
    <definedName name="截止日">[1]年前十大!$B$3</definedName>
    <definedName name="借或贷">[1]年前十大!$A$2:$A$3</definedName>
    <definedName name="进充" localSheetId="74" hidden="1">#REF!</definedName>
    <definedName name="净_利_润93">[1]年前十大!$B$24</definedName>
    <definedName name="净_利_润94">[1]年前十大!$D$24</definedName>
    <definedName name="净_利_润95">[1]年前十大!$F$24</definedName>
    <definedName name="净资产合计93期初">[1]年前十大!$C$20</definedName>
    <definedName name="净资产合计93期末">[1]年前十大!$D$20</definedName>
    <definedName name="净资产合计94期初">[1]年前十大!$E$20</definedName>
    <definedName name="净资产合计94期末">[1]年前十大!$F$20</definedName>
    <definedName name="净资产合计95期初">[1]年前十大!$G$20</definedName>
    <definedName name="净资产合计95期末">[1]年前十大!$H$20</definedName>
    <definedName name="九矿附注调整1" localSheetId="74">[1]年前十大!#REF!</definedName>
    <definedName name="开办费明细表">[1]年前十大!$B$4:$N$8</definedName>
    <definedName name="科技">[1]年前十大!$A$1:$I$26</definedName>
    <definedName name="科目汇总" localSheetId="74">[1]年前十大!#REF!</definedName>
    <definedName name="科目名称表2">[1]年前十大!$A$4:$A$108</definedName>
    <definedName name="科目余额表">[1]年前十大!$A$1:$M$539</definedName>
    <definedName name="累计折旧明细表">[1]年前十大!$B$4:$K$7</definedName>
    <definedName name="利_润_总_额93">[1]年前十大!$B$10</definedName>
    <definedName name="利_润_总_额94">[1]年前十大!$C$10</definedName>
    <definedName name="利_润_总_额95">[1]年前十大!$D$10</definedName>
    <definedName name="流_动_资_产93">[1]年前十大!$B$15</definedName>
    <definedName name="流_动_资_产94">[1]年前十大!$C$15</definedName>
    <definedName name="流_动_资_产95">[1]年前十大!$D$15</definedName>
    <definedName name="流动负债93期末">[1]年前十大!$D$15</definedName>
    <definedName name="流动负债94期末">[1]年前十大!$F$15</definedName>
    <definedName name="流动负债95期末">[1]年前十大!$H$15</definedName>
    <definedName name="马玉琴">[1]年前十大!$B$2:$H$168</definedName>
    <definedName name="明细帐">[1]年前十大!$A$1:$F$2758</definedName>
    <definedName name="明细账">[1]年前十大!$A$1:$H$610</definedName>
    <definedName name="内部—机电公司">[1]年前十大!$A$6:$H$29</definedName>
    <definedName name="期初利润验证">#N/A</definedName>
    <definedName name="期货会员资格投资明细表">[1]年前十大!$A$3:$J$45</definedName>
    <definedName name="其他贷方">[1]年前十大!$A$1:$J$17</definedName>
    <definedName name="其他货币资金明细表">[1]年前十大!$A$3:$O$31</definedName>
    <definedName name="其他借方">[1]年前十大!$A$1:$G$36</definedName>
    <definedName name="其他未交款明细表">[1]年前十大!$B$4:$K$7</definedName>
    <definedName name="其他应付">[1]年前十大!$A$1:$C$34</definedName>
    <definedName name="其他应付款">[1]年前十大!$A$1:$I$23</definedName>
    <definedName name="其他应付款明细表">[1]年前十大!$B$4:$P$9</definedName>
    <definedName name="其他应收">[1]年前十大!$A$1:$H$33</definedName>
    <definedName name="其他应收款明细表">[1]年前十大!$A$3:$U$31</definedName>
    <definedName name="其他长期负债明细表">[1]年前十大!$A$4:$I$11</definedName>
    <definedName name="其他长期股权投资明细表_成本法_">[1]年前十大!$A$3:$O$30</definedName>
    <definedName name="其他长期债权投资明细表">[1]年前十大!$A$3:$Y$31</definedName>
    <definedName name="入库">[1]年前十大!$A$1:$W$503</definedName>
    <definedName name="商标采购.dbf">[1]年前十大!$A$4:$C$41</definedName>
    <definedName name="上期报表">[1]年前十大!$A$6:$D$150</definedName>
    <definedName name="少数权益验算">#N/A</definedName>
    <definedName name="十矿不需用资产补提折旧暂放生产设备" localSheetId="74">[1]年前十大!#REF!</definedName>
    <definedName name="式" localSheetId="74" hidden="1">#REF!,#REF!,#REF!,#REF!,#REF!,#REF!,#REF!,#REF!,#REF!,#REF!,#REF!,#REF!,#REF!,#REF!,#REF!,#REF!,#REF!,#REF!,#REF!</definedName>
    <definedName name="速_动_资_产93">[1]年前十大!$B$14</definedName>
    <definedName name="速_动_资_产94">[1]年前十大!$C$14</definedName>
    <definedName name="速_动_资_产95">[1]年前十大!$D$14</definedName>
    <definedName name="所得税验证">[1]年前十大!$E$26</definedName>
    <definedName name="提示固定资产" localSheetId="74">[1]年前十大!#REF!</definedName>
    <definedName name="投资收益明细表">#N/A</definedName>
    <definedName name="未达性质">[1]年前十大!$C$15:$C$18</definedName>
    <definedName name="未交税金明细表">[1]年前十大!$B$4:$I$7</definedName>
    <definedName name="无对应明细表的报表项目">[1]年前十大!$B$4:$E$32</definedName>
    <definedName name="无形资产明细表">[1]年前十大!$A$3:$P$31</definedName>
    <definedName name="五吨车运费" localSheetId="74">'[8]北京 -L'!#REF!</definedName>
    <definedName name="现金">[1]年前十大!$A$1:$I$648</definedName>
    <definedName name="现金明细表">[1]年前十大!$A$3:$L$31</definedName>
    <definedName name="现金日记帐">[1]年前十大!$A$1:$I$149</definedName>
    <definedName name="销货净额" localSheetId="74">#REF!</definedName>
    <definedName name="销售毛利润汇总表">#N/A</definedName>
    <definedName name="杨润成">[1]年前十大!$B$2:$H$45</definedName>
    <definedName name="以前年度损益调整明细表">[1]年前十大!$A$5:$K$16</definedName>
    <definedName name="银行存款">[1]年前十大!$A$1:$J$590</definedName>
    <definedName name="盈余公积明细表">[1]年前十大!$A$3:$S$9</definedName>
    <definedName name="营业外收入明细表">[1]年前十大!$A$3:$J$45</definedName>
    <definedName name="营业外支出明细表">[1]年前十大!$B$4:$J$7</definedName>
    <definedName name="应付">[1]年前十大!$A$1:$H$177</definedName>
    <definedName name="应付2">[1]年前十大!$A$1:$H$176</definedName>
    <definedName name="应付股利明细表">[1]年前十大!$A$3:$J$45</definedName>
    <definedName name="应付款明细表" localSheetId="74">#REF!</definedName>
    <definedName name="应付票据明细表">[1]年前十大!$A$3:$J$6</definedName>
    <definedName name="应付债券明细表">#N/A</definedName>
    <definedName name="应付帐款">[1]年前十大!$B$5:$D$255</definedName>
    <definedName name="应付帐款贷方">[1]年前十大!$A$4:$H$189</definedName>
    <definedName name="应付帐款借方">[1]年前十大!$A$4:$H$25</definedName>
    <definedName name="应付帐款明细表">[1]年前十大!$A$3:$G$34</definedName>
    <definedName name="应收补贴款明细表">#N/A</definedName>
    <definedName name="应收贷方">[1]年前十大!$A$1:$H$63</definedName>
    <definedName name="应收股利明细表">[1]年前十大!$A$3:$K$30</definedName>
    <definedName name="应收借方">[1]年前十大!$B$1:$H$67</definedName>
    <definedName name="应收利息明细表">#N/A</definedName>
    <definedName name="应收帐款93期初">[1]年前十大!$C$6</definedName>
    <definedName name="应收帐款93期末">[1]年前十大!$D$6</definedName>
    <definedName name="应收帐款94期初">[1]年前十大!$E$6</definedName>
    <definedName name="应收帐款94期末">[1]年前十大!$F$6</definedName>
    <definedName name="应收帐款95期初">[1]年前十大!$G$6</definedName>
    <definedName name="应收帐款95期末">[1]年前十大!$H$6</definedName>
    <definedName name="应收帐款明细表">[1]年前十大!$A$3:$L$44</definedName>
    <definedName name="预付帐款明细表">[1]年前十大!$A$3:$U$32</definedName>
    <definedName name="预收货款明细表">[1]年前十大!$B$4:$P$9</definedName>
    <definedName name="预提费用明细表">[1]年前十大!$B$4:$I$7</definedName>
    <definedName name="在" localSheetId="74">'[9]北京 -L'!#REF!</definedName>
    <definedName name="在建工程明细表">#N/A</definedName>
    <definedName name="长期待摊费用明细表">[1]年前十大!$A$3:$M$31</definedName>
    <definedName name="长期股票投资明细表_成本法_">[1]年前十大!$A$3:$W$31</definedName>
    <definedName name="长期股权投资明细表_权益法_">[1]年前十大!$A$3:$AM$32</definedName>
    <definedName name="长期借款明细表">#N/A</definedName>
    <definedName name="长期应付款明细表">[1]年前十大!$A$3:$T$32</definedName>
    <definedName name="长期债券投资明细表">[1]年前十大!$A$3:$AI$31</definedName>
    <definedName name="折旧">[1]年前十大!$A$1:$G$67</definedName>
    <definedName name="制造费用11">[1]年前十大!$A$1:$I$264</definedName>
    <definedName name="中科" localSheetId="71" hidden="1">#REF!</definedName>
    <definedName name="中科" localSheetId="72" hidden="1">#REF!</definedName>
    <definedName name="中科" localSheetId="78" hidden="1">#REF!</definedName>
    <definedName name="中科" localSheetId="67" hidden="1">#REF!</definedName>
    <definedName name="中科" localSheetId="81" hidden="1">#REF!</definedName>
    <definedName name="中科" localSheetId="62" hidden="1">#REF!</definedName>
    <definedName name="中科" localSheetId="68" hidden="1">#REF!</definedName>
    <definedName name="中科" localSheetId="76" hidden="1">#REF!</definedName>
    <definedName name="中科" localSheetId="61" hidden="1">#REF!</definedName>
    <definedName name="中科" localSheetId="79" hidden="1">#REF!</definedName>
    <definedName name="中科" localSheetId="65" hidden="1">#REF!</definedName>
    <definedName name="中科" localSheetId="63" hidden="1">#REF!</definedName>
    <definedName name="中科" localSheetId="64" hidden="1">#REF!</definedName>
    <definedName name="中科" localSheetId="82" hidden="1">#REF!</definedName>
    <definedName name="中科" localSheetId="75" hidden="1">#REF!</definedName>
    <definedName name="中科" localSheetId="69" hidden="1">#REF!</definedName>
    <definedName name="中科" localSheetId="66" hidden="1">#REF!</definedName>
    <definedName name="中科" localSheetId="22" hidden="1">#REF!</definedName>
    <definedName name="中科" localSheetId="23" hidden="1">#REF!</definedName>
    <definedName name="中科" localSheetId="11" hidden="1">#REF!</definedName>
    <definedName name="中科" localSheetId="10" hidden="1">#REF!</definedName>
    <definedName name="中科" localSheetId="25" hidden="1">#REF!</definedName>
    <definedName name="中科" localSheetId="20" hidden="1">#REF!</definedName>
    <definedName name="中科" localSheetId="24" hidden="1">#REF!</definedName>
    <definedName name="中科" localSheetId="15" hidden="1">#REF!</definedName>
    <definedName name="中科" localSheetId="21" hidden="1">#REF!</definedName>
    <definedName name="中科" localSheetId="8" hidden="1">#REF!</definedName>
    <definedName name="中科" localSheetId="13" hidden="1">#REF!</definedName>
    <definedName name="中科" localSheetId="19" hidden="1">#REF!</definedName>
    <definedName name="中科" localSheetId="14" hidden="1">#REF!</definedName>
    <definedName name="中科" localSheetId="26" hidden="1">#REF!</definedName>
    <definedName name="中科" localSheetId="12" hidden="1">#REF!</definedName>
    <definedName name="中科" localSheetId="18" hidden="1">#REF!</definedName>
    <definedName name="中科" localSheetId="56" hidden="1">#REF!</definedName>
    <definedName name="中科" localSheetId="57" hidden="1">#REF!</definedName>
    <definedName name="中科" localSheetId="55" hidden="1">#REF!</definedName>
    <definedName name="中科" localSheetId="47" hidden="1">#REF!</definedName>
    <definedName name="中科" localSheetId="51" hidden="1">#REF!</definedName>
    <definedName name="中科" localSheetId="49" hidden="1">#REF!</definedName>
    <definedName name="中科" localSheetId="54" hidden="1">#REF!</definedName>
    <definedName name="中科" localSheetId="46" hidden="1">#REF!</definedName>
    <definedName name="中科" localSheetId="44" hidden="1">#REF!</definedName>
    <definedName name="中科" localSheetId="52" hidden="1">#REF!</definedName>
    <definedName name="中科" localSheetId="53" hidden="1">#REF!</definedName>
    <definedName name="中科" localSheetId="58" hidden="1">#REF!</definedName>
    <definedName name="中科" localSheetId="48" hidden="1">#REF!</definedName>
    <definedName name="中科" localSheetId="37" hidden="1">#REF!</definedName>
    <definedName name="中科" localSheetId="34" hidden="1">#REF!</definedName>
    <definedName name="中科" localSheetId="30" hidden="1">#REF!</definedName>
    <definedName name="中科" localSheetId="38" hidden="1">#REF!</definedName>
    <definedName name="中科" localSheetId="32" hidden="1">#REF!</definedName>
    <definedName name="中科" localSheetId="31" hidden="1">#REF!</definedName>
    <definedName name="中科" localSheetId="33" hidden="1">#REF!</definedName>
    <definedName name="中科" localSheetId="35" hidden="1">#REF!</definedName>
    <definedName name="中科" localSheetId="40" hidden="1">#REF!</definedName>
    <definedName name="中科" localSheetId="88" hidden="1">#REF!</definedName>
    <definedName name="中科" localSheetId="87" hidden="1">#REF!</definedName>
    <definedName name="中科" localSheetId="94" hidden="1">#REF!</definedName>
    <definedName name="中科" localSheetId="91" hidden="1">#REF!</definedName>
    <definedName name="中科" localSheetId="95" hidden="1">#REF!</definedName>
    <definedName name="中科" localSheetId="86" hidden="1">#REF!</definedName>
    <definedName name="中科" localSheetId="93" hidden="1">#REF!</definedName>
    <definedName name="中科" localSheetId="96" hidden="1">#REF!</definedName>
    <definedName name="中科" localSheetId="97" hidden="1">#REF!</definedName>
    <definedName name="中科" hidden="1">#REF!</definedName>
    <definedName name="主营业务收入与成本明细表">[1]年前十大!$A$3:$P$28</definedName>
    <definedName name="主营业务税金及附加明细表">[1]年前十大!$A$4:$I$46</definedName>
    <definedName name="住房周转金明细表">[1]年前十大!$A$4:$G$19</definedName>
    <definedName name="资本公积明细表">[1]年前十大!$A$3:$G$15</definedName>
    <definedName name="资产合计93期初">[1]年前十大!$C$14</definedName>
    <definedName name="资产合计93期末">[1]年前十大!$D$14</definedName>
    <definedName name="资产合计94期初">[1]年前十大!$E$14</definedName>
    <definedName name="资产合计94期末">[1]年前十大!$F$14</definedName>
    <definedName name="资产合计95期初">[1]年前十大!$G$14</definedName>
    <definedName name="资产合计95期末">[1]年前十大!$H$14</definedName>
    <definedName name="전" localSheetId="74">[1]年前十大!#REF!</definedName>
    <definedName name="주택사업본부" localSheetId="74">[1]年前十大!#REF!</definedName>
    <definedName name="철구사업본부" localSheetId="74">[1]年前十大!#REF!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1.xml><?xml version="1.0" encoding="utf-8"?>
<comments xmlns="http://schemas.openxmlformats.org/spreadsheetml/2006/main">
  <authors>
    <author>作者</author>
    <author>xiongminfang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  <comment ref="A94" authorId="1">
      <text>
        <r>
          <rPr>
            <b/>
            <sz val="9"/>
            <rFont val="Tahoma"/>
            <charset val="134"/>
          </rPr>
          <t>xiongminfang: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制造费用部门分类</t>
        </r>
      </text>
    </comment>
  </commentList>
</comments>
</file>

<file path=xl/comments62.xml><?xml version="1.0" encoding="utf-8"?>
<comments xmlns="http://schemas.openxmlformats.org/spreadsheetml/2006/main">
  <authors>
    <author>作者</author>
    <author>xiongminfang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  <comment ref="A94" authorId="1">
      <text>
        <r>
          <rPr>
            <b/>
            <sz val="9"/>
            <rFont val="Tahoma"/>
            <charset val="134"/>
          </rPr>
          <t>xiongminfang: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制造费用部门分类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C9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与实验室制材料费重复？</t>
        </r>
      </text>
    </comment>
  </commentList>
</comments>
</file>

<file path=xl/sharedStrings.xml><?xml version="1.0" encoding="utf-8"?>
<sst xmlns="http://schemas.openxmlformats.org/spreadsheetml/2006/main" count="13452" uniqueCount="426">
  <si>
    <t>广州天赐高新材料股份有限公司</t>
  </si>
  <si>
    <t>编制日期：</t>
  </si>
  <si>
    <t>编制：</t>
  </si>
  <si>
    <t>审核：</t>
  </si>
  <si>
    <t>批准：</t>
  </si>
  <si>
    <t>编制期间：</t>
  </si>
  <si>
    <t>目录</t>
  </si>
  <si>
    <t>超链接</t>
  </si>
  <si>
    <t>INDEX(GET.WORKBOOK(1),ROW(A1))&amp;T(NOW()）</t>
  </si>
  <si>
    <t>天赐2020年期间费用表</t>
  </si>
  <si>
    <t>（万元）</t>
  </si>
  <si>
    <t>法人</t>
  </si>
  <si>
    <t>合计</t>
  </si>
  <si>
    <t>检查</t>
  </si>
  <si>
    <t>高新</t>
  </si>
  <si>
    <t>有机硅</t>
  </si>
  <si>
    <t>天津</t>
  </si>
  <si>
    <t>宁德</t>
  </si>
  <si>
    <t>香港</t>
  </si>
  <si>
    <t>中科</t>
  </si>
  <si>
    <t>江苏天赐</t>
  </si>
  <si>
    <t>创新中心</t>
  </si>
  <si>
    <t>中天鸿锂</t>
  </si>
  <si>
    <t>宜春天赐</t>
  </si>
  <si>
    <t>浙江艾德</t>
  </si>
  <si>
    <t>美思</t>
  </si>
  <si>
    <t>九江</t>
  </si>
  <si>
    <t>天祺</t>
  </si>
  <si>
    <t>中硝</t>
  </si>
  <si>
    <t>张家港吉慕特</t>
  </si>
  <si>
    <t>九江吉慕特</t>
  </si>
  <si>
    <t>上海吉慕特</t>
  </si>
  <si>
    <t>安徽天孚</t>
  </si>
  <si>
    <t>池州天赐</t>
  </si>
  <si>
    <t>九江矿业</t>
  </si>
  <si>
    <t>捷克天赐</t>
  </si>
  <si>
    <t>浙江天硕</t>
  </si>
  <si>
    <t>合计-未抵消</t>
  </si>
  <si>
    <t>管理抵消合计</t>
  </si>
  <si>
    <t>销售抵消合计</t>
  </si>
  <si>
    <t>抵消合计</t>
  </si>
  <si>
    <t>合计-已抵消</t>
  </si>
  <si>
    <t>检查-未抵消</t>
  </si>
  <si>
    <t>检查-已抵消</t>
  </si>
  <si>
    <t>天赐2020年管理费用表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</si>
  <si>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</si>
  <si>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</si>
  <si>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</si>
  <si>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</si>
  <si>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</si>
  <si>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</si>
  <si>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</si>
  <si>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</si>
  <si>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</si>
  <si>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</si>
  <si>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</si>
  <si>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</si>
  <si>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</si>
  <si>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</si>
  <si>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天赐2020年销售费用表</t>
  </si>
  <si>
    <t>天赐2020年研发费用表</t>
  </si>
  <si>
    <t>天赐2020年财务费用表</t>
  </si>
  <si>
    <t>天赐2020年制造费用表</t>
  </si>
  <si>
    <t>合并管理费用表</t>
  </si>
  <si>
    <t>编制单位：广州天赐高新材料股份有限公司</t>
  </si>
  <si>
    <t>一级科目</t>
  </si>
  <si>
    <t>二级科目</t>
  </si>
  <si>
    <t>三级科目</t>
  </si>
  <si>
    <t>实际数</t>
  </si>
  <si>
    <t>与人有关费用</t>
  </si>
  <si>
    <t>工资</t>
  </si>
  <si>
    <t>年终奖</t>
  </si>
  <si>
    <t>劳务费</t>
  </si>
  <si>
    <t>奖励费</t>
  </si>
  <si>
    <t>福利费</t>
  </si>
  <si>
    <t>员工餐费</t>
  </si>
  <si>
    <t>文体活动费</t>
  </si>
  <si>
    <t>高温补贴</t>
  </si>
  <si>
    <t>医疗医药费</t>
  </si>
  <si>
    <t>慰问金</t>
  </si>
  <si>
    <t>困难补助金</t>
  </si>
  <si>
    <t>租车费</t>
  </si>
  <si>
    <t>商业保险金</t>
  </si>
  <si>
    <t>其他</t>
  </si>
  <si>
    <t>住房公积金</t>
  </si>
  <si>
    <t>工会经费</t>
  </si>
  <si>
    <t>培训费</t>
  </si>
  <si>
    <t>社会保险费</t>
  </si>
  <si>
    <t>养老保险</t>
  </si>
  <si>
    <t>失业保险</t>
  </si>
  <si>
    <t>工伤保险</t>
  </si>
  <si>
    <t>医疗保险</t>
  </si>
  <si>
    <t>生育保险</t>
  </si>
  <si>
    <t>招聘费</t>
  </si>
  <si>
    <t>日常行政费用</t>
  </si>
  <si>
    <t>办公费</t>
  </si>
  <si>
    <t>图书资料费</t>
  </si>
  <si>
    <t>办公用品费用</t>
  </si>
  <si>
    <t>印刷费</t>
  </si>
  <si>
    <t>通讯费</t>
  </si>
  <si>
    <t>上网费</t>
  </si>
  <si>
    <t>固话费</t>
  </si>
  <si>
    <t>手机费</t>
  </si>
  <si>
    <t>差旅费</t>
  </si>
  <si>
    <t>国内出差费</t>
  </si>
  <si>
    <t>出国经费</t>
  </si>
  <si>
    <t>车辆费</t>
  </si>
  <si>
    <t>业务招待费</t>
  </si>
  <si>
    <t>会议会员费</t>
  </si>
  <si>
    <t>会员费</t>
  </si>
  <si>
    <t>会议会务费</t>
  </si>
  <si>
    <t>文化建设费</t>
  </si>
  <si>
    <t>与资产有关费用</t>
  </si>
  <si>
    <t>修理费</t>
  </si>
  <si>
    <t>低值易耗品</t>
  </si>
  <si>
    <t>软件费</t>
  </si>
  <si>
    <t>保险费</t>
  </si>
  <si>
    <t>财产保险</t>
  </si>
  <si>
    <t>信用保险</t>
  </si>
  <si>
    <t>固定资产折旧</t>
  </si>
  <si>
    <t>无形资产摊销</t>
  </si>
  <si>
    <t>租赁费</t>
  </si>
  <si>
    <t>与试验检测相关费用</t>
  </si>
  <si>
    <t>试验试制费</t>
  </si>
  <si>
    <t>试验材料费</t>
  </si>
  <si>
    <t>委外试制费</t>
  </si>
  <si>
    <t>检验检测费</t>
  </si>
  <si>
    <t>检验材料费</t>
  </si>
  <si>
    <t>委外检验检测</t>
  </si>
  <si>
    <t>设计费</t>
  </si>
  <si>
    <t>专利费</t>
  </si>
  <si>
    <t>与市场相关费用</t>
  </si>
  <si>
    <t>体系建设费</t>
  </si>
  <si>
    <t>广告宣传费</t>
  </si>
  <si>
    <t>展览费</t>
  </si>
  <si>
    <t>展台展位费</t>
  </si>
  <si>
    <t>样品赠品费</t>
  </si>
  <si>
    <t>市场调研费</t>
  </si>
  <si>
    <t>与业务量直接相关费用</t>
  </si>
  <si>
    <t>机物料消耗</t>
  </si>
  <si>
    <t>水费</t>
  </si>
  <si>
    <t>电费</t>
  </si>
  <si>
    <t>燃油燃煤费</t>
  </si>
  <si>
    <t>蒸汽费</t>
  </si>
  <si>
    <t>运输费</t>
  </si>
  <si>
    <t>自有车辆</t>
  </si>
  <si>
    <t>外部货运</t>
  </si>
  <si>
    <t>邮寄费</t>
  </si>
  <si>
    <t>码头文件费</t>
  </si>
  <si>
    <t>商检港杂费</t>
  </si>
  <si>
    <t>报关费</t>
  </si>
  <si>
    <t>进口报关</t>
  </si>
  <si>
    <t>出口报关</t>
  </si>
  <si>
    <t>业务代理费</t>
  </si>
  <si>
    <t>接受劳务服务费</t>
  </si>
  <si>
    <t>审计鉴证费</t>
  </si>
  <si>
    <t>咨询费</t>
  </si>
  <si>
    <t>技术咨询费</t>
  </si>
  <si>
    <t>其他咨询费</t>
  </si>
  <si>
    <t>诉讼费</t>
  </si>
  <si>
    <t>与安全环保相关费用</t>
  </si>
  <si>
    <t>劳动保护费</t>
  </si>
  <si>
    <t>安全费</t>
  </si>
  <si>
    <t>环境保护费</t>
  </si>
  <si>
    <t>绿化费</t>
  </si>
  <si>
    <t>排污费</t>
  </si>
  <si>
    <t>环评费</t>
  </si>
  <si>
    <t>职业健康费</t>
  </si>
  <si>
    <t>与投资者相关费用</t>
  </si>
  <si>
    <t>证券发行费用</t>
  </si>
  <si>
    <t>信息披露费</t>
  </si>
  <si>
    <t>投资者关系费</t>
  </si>
  <si>
    <t>董事会费</t>
  </si>
  <si>
    <t>其他费用</t>
  </si>
  <si>
    <t>相关税费</t>
  </si>
  <si>
    <t>研究开发费用</t>
  </si>
  <si>
    <t>其中：个人护理（日化事业部）</t>
  </si>
  <si>
    <t>其中：个人护理（国际贸易部）</t>
  </si>
  <si>
    <t>其中：锂离子电池材料</t>
  </si>
  <si>
    <t>其中：有机硅橡胶材料</t>
  </si>
  <si>
    <t>其中：不能直接归集到业务</t>
  </si>
  <si>
    <t>编制人：</t>
  </si>
  <si>
    <t>合并报表数</t>
  </si>
  <si>
    <t>差异</t>
  </si>
  <si>
    <t>G-高新</t>
  </si>
  <si>
    <t>G-有机硅</t>
  </si>
  <si>
    <t>G-天津</t>
  </si>
  <si>
    <t>G-宁德</t>
  </si>
  <si>
    <t>G-香港</t>
  </si>
  <si>
    <t>G-中科</t>
  </si>
  <si>
    <t>G-江苏天赐</t>
  </si>
  <si>
    <t>G-创新中心</t>
  </si>
  <si>
    <t>G-中天鸿锂</t>
  </si>
  <si>
    <t>G-宜春天赐</t>
  </si>
  <si>
    <t>G-浙江艾德</t>
  </si>
  <si>
    <t>G-美思</t>
  </si>
  <si>
    <t>G-九江</t>
  </si>
  <si>
    <t>G-天祺</t>
  </si>
  <si>
    <t>G-中硝</t>
  </si>
  <si>
    <t>G-张家港吉慕特</t>
  </si>
  <si>
    <t>G-九江吉慕特</t>
  </si>
  <si>
    <t>G-上海吉慕特</t>
  </si>
  <si>
    <t>G-安徽天孚</t>
  </si>
  <si>
    <t>G-池州天赐</t>
  </si>
  <si>
    <t>G-九江矿业</t>
  </si>
  <si>
    <t>G-捷克天赐</t>
  </si>
  <si>
    <t>G-浙江天硕</t>
  </si>
  <si>
    <t>抵消</t>
  </si>
  <si>
    <t>锂离子</t>
  </si>
  <si>
    <t>不能直接归集</t>
  </si>
  <si>
    <t>高新管理费用表</t>
  </si>
  <si>
    <t>2020年4月</t>
  </si>
  <si>
    <t>其他福利费</t>
  </si>
  <si>
    <t>有机硅管理费用表</t>
  </si>
  <si>
    <t xml:space="preserve">                        -  </t>
  </si>
  <si>
    <t xml:space="preserve">                              -  </t>
  </si>
  <si>
    <t>天津管理费用表</t>
  </si>
  <si>
    <t>宁德凯欣管理费用表</t>
  </si>
  <si>
    <t>编制单位：</t>
  </si>
  <si>
    <t>香港天赐管理费用表</t>
  </si>
  <si>
    <t>中科立新管理费用表</t>
  </si>
  <si>
    <t>江苏天赐高新管理费用表</t>
  </si>
  <si>
    <t>江西创新中心管理费用表</t>
  </si>
  <si>
    <t>中天鸿锂管理费用表</t>
  </si>
  <si>
    <t>宜春天赐管理费用表</t>
  </si>
  <si>
    <t xml:space="preserve">                    -  </t>
  </si>
  <si>
    <t>浙江艾德管理费用表</t>
  </si>
  <si>
    <t>浙江美思管理费用表</t>
  </si>
  <si>
    <t>九江管理费用表</t>
  </si>
  <si>
    <t>其中：正极材料</t>
  </si>
  <si>
    <t>天祺管理费用表</t>
  </si>
  <si>
    <t xml:space="preserve">                                  -  </t>
  </si>
  <si>
    <t>江西中硝管理费用表</t>
  </si>
  <si>
    <t>张家港吉慕特管理费用表</t>
  </si>
  <si>
    <t>九江吉慕特管理费用表</t>
  </si>
  <si>
    <t>上海吉慕特管理费用表</t>
  </si>
  <si>
    <t>安徽天孚管理费用表</t>
  </si>
  <si>
    <t>池州天赐管理费用表</t>
  </si>
  <si>
    <t xml:space="preserve">               -  </t>
  </si>
  <si>
    <t>九江矿业管理费用表</t>
  </si>
  <si>
    <t>捷克天赐管理费用表</t>
  </si>
  <si>
    <t>浙江天硕管理费用表</t>
  </si>
  <si>
    <t>合并研究开发费用</t>
  </si>
  <si>
    <t>月</t>
  </si>
  <si>
    <t>其中：个人护理研发项目</t>
  </si>
  <si>
    <t>其中：锂离子电池材料项目</t>
  </si>
  <si>
    <t>合并研发费用率</t>
  </si>
  <si>
    <t>个人护理研发费用/对应收入</t>
  </si>
  <si>
    <t>锂离子电池材料研发费用/对应收入</t>
  </si>
  <si>
    <t>有机硅橡胶研发费用/对应收入</t>
  </si>
  <si>
    <t>Y-高新</t>
  </si>
  <si>
    <t>Y-有机硅</t>
  </si>
  <si>
    <t>Y-美思</t>
  </si>
  <si>
    <t>Y-宜春天赐</t>
  </si>
  <si>
    <t>Y-上海吉慕特</t>
  </si>
  <si>
    <t>Y-张家港吉慕特</t>
  </si>
  <si>
    <t>Y-创新中心</t>
  </si>
  <si>
    <t>Y-中科</t>
  </si>
  <si>
    <t>Y-九江</t>
  </si>
  <si>
    <t>Y-安徽天孚</t>
  </si>
  <si>
    <t>Y-宁德</t>
  </si>
  <si>
    <t>Y-天津</t>
  </si>
  <si>
    <t>Y-中天鸿锂</t>
  </si>
  <si>
    <t>高新研究开发费用</t>
  </si>
  <si>
    <t>有机硅研究开发费用</t>
  </si>
  <si>
    <t>其他项目</t>
  </si>
  <si>
    <t>美思研究开发费用</t>
  </si>
  <si>
    <t>宜春天赐研究开发费用</t>
  </si>
  <si>
    <t>上海吉慕特研究开发费用</t>
  </si>
  <si>
    <t>张家港吉慕特研究开发费用</t>
  </si>
  <si>
    <t>创新中心研究开发费用</t>
  </si>
  <si>
    <t>中科立新研究开发费用</t>
  </si>
  <si>
    <t>无研发，放到管理费用</t>
  </si>
  <si>
    <t>九江研究开发费用</t>
  </si>
  <si>
    <t>安徽天孚研究开发费用</t>
  </si>
  <si>
    <t>宁德研究开发费用</t>
  </si>
  <si>
    <t>天津研究开发费用</t>
  </si>
  <si>
    <t>中天鸿锂研究开发费用</t>
  </si>
  <si>
    <t>合并销售费用表</t>
  </si>
  <si>
    <t>2020年1月</t>
  </si>
  <si>
    <t>2020年2月</t>
  </si>
  <si>
    <t>2020年3月</t>
  </si>
  <si>
    <t>2020年5月</t>
  </si>
  <si>
    <t>2020年6月</t>
  </si>
  <si>
    <t>2020年7月</t>
  </si>
  <si>
    <t>2020年8月</t>
  </si>
  <si>
    <t>2020年9月</t>
  </si>
  <si>
    <t>2020年10月</t>
  </si>
  <si>
    <t>2020年11月</t>
  </si>
  <si>
    <t>2020年12月</t>
  </si>
  <si>
    <t>X-高新</t>
  </si>
  <si>
    <t>X-有机硅</t>
  </si>
  <si>
    <t>X-香港</t>
  </si>
  <si>
    <t>X-九江</t>
  </si>
  <si>
    <t>X-天祺</t>
  </si>
  <si>
    <t>X-九江矿业</t>
  </si>
  <si>
    <t>X-中硝</t>
  </si>
  <si>
    <t>X-宁德</t>
  </si>
  <si>
    <t>X-天津</t>
  </si>
  <si>
    <t>X-美思</t>
  </si>
  <si>
    <t>X-宜春天赐</t>
  </si>
  <si>
    <t>X-张家港吉慕特</t>
  </si>
  <si>
    <t>X-上海吉慕特</t>
  </si>
  <si>
    <t>X-捷克天赐</t>
  </si>
  <si>
    <t>X-安徽天孚</t>
  </si>
  <si>
    <t>X-池州天赐</t>
  </si>
  <si>
    <t>X-中天鸿锂</t>
  </si>
  <si>
    <t>高新销售费用表</t>
  </si>
  <si>
    <t>再其中：运输费</t>
  </si>
  <si>
    <t>其中：锂离子电池材料(电池材料事业部)</t>
  </si>
  <si>
    <t>有机硅销售费用表</t>
  </si>
  <si>
    <t>香港天赐销售费用表</t>
  </si>
  <si>
    <t>九江销售费用表</t>
  </si>
  <si>
    <t>天祺销售费用表</t>
  </si>
  <si>
    <t>九江矿业销售费用表</t>
  </si>
  <si>
    <t>江西中硝销售费用表</t>
  </si>
  <si>
    <t>宁德销售费用表</t>
  </si>
  <si>
    <t>天津销售费用表</t>
  </si>
  <si>
    <t>上海吉慕特销售费用表</t>
  </si>
  <si>
    <t>宜春天赐销售费用表</t>
  </si>
  <si>
    <t xml:space="preserve">                  -  </t>
  </si>
  <si>
    <t>张家港吉慕特销售费用表</t>
  </si>
  <si>
    <t>捷克天赐销售费用表</t>
  </si>
  <si>
    <t>安徽天孚销售费用表</t>
  </si>
  <si>
    <t xml:space="preserve">              -  </t>
  </si>
  <si>
    <t>池州天赐销售费用表</t>
  </si>
  <si>
    <t>中天鸿锂销售费用表</t>
  </si>
  <si>
    <t>合并财务费用表</t>
  </si>
  <si>
    <t>利息净支出</t>
  </si>
  <si>
    <t>利息支出</t>
  </si>
  <si>
    <t>利息收入</t>
  </si>
  <si>
    <t>银行贴现息</t>
  </si>
  <si>
    <t>手续费</t>
  </si>
  <si>
    <t>汇兑损益</t>
  </si>
  <si>
    <t>汇兑收益</t>
  </si>
  <si>
    <t>汇兑损失</t>
  </si>
  <si>
    <t>财务费用合计</t>
  </si>
  <si>
    <t>C-高新</t>
  </si>
  <si>
    <t>C-上海吉慕特</t>
  </si>
  <si>
    <t>C-九江吉慕特</t>
  </si>
  <si>
    <t>C-张家港吉慕特</t>
  </si>
  <si>
    <t>C-浙江艾德</t>
  </si>
  <si>
    <t>C-宜春天赐</t>
  </si>
  <si>
    <t>C-中硝</t>
  </si>
  <si>
    <t>C-江苏天赐</t>
  </si>
  <si>
    <t>C-九江矿业</t>
  </si>
  <si>
    <t>C-中天鸿锂</t>
  </si>
  <si>
    <t>C-九江</t>
  </si>
  <si>
    <t>C-安徽天孚</t>
  </si>
  <si>
    <t>C-池州天赐</t>
  </si>
  <si>
    <t>C-有机硅</t>
  </si>
  <si>
    <t>C-天津</t>
  </si>
  <si>
    <t>C-中科</t>
  </si>
  <si>
    <t>C-美思</t>
  </si>
  <si>
    <t>C-宁德</t>
  </si>
  <si>
    <t>C-创新中心</t>
  </si>
  <si>
    <t>C-香港</t>
  </si>
  <si>
    <t>C-天祺</t>
  </si>
  <si>
    <t>C-捷克天赐</t>
  </si>
  <si>
    <t>C-浙江天硕</t>
  </si>
  <si>
    <r>
      <rPr>
        <b/>
        <sz val="11"/>
        <rFont val="黑体"/>
        <charset val="134"/>
      </rPr>
      <t xml:space="preserve">                                          </t>
    </r>
    <r>
      <rPr>
        <b/>
        <sz val="20"/>
        <rFont val="黑体"/>
        <charset val="134"/>
      </rPr>
      <t>财务费用预算执行情况表</t>
    </r>
  </si>
  <si>
    <t>编制日期：2015-2-5</t>
  </si>
  <si>
    <t xml:space="preserve">                      -  </t>
  </si>
  <si>
    <t>正确性检验</t>
  </si>
  <si>
    <t>编制单位：上海吉</t>
  </si>
  <si>
    <t>编制单位：九江吉慕特</t>
  </si>
  <si>
    <t>编制单位：浙江艾德</t>
  </si>
  <si>
    <t>编制单位：宜春天赐</t>
  </si>
  <si>
    <t>编制单位：江苏天赐</t>
  </si>
  <si>
    <t>编制单位：XX</t>
  </si>
  <si>
    <t>编制单位：中天鸿锂</t>
  </si>
  <si>
    <r>
      <rPr>
        <b/>
        <sz val="11"/>
        <rFont val="黑体"/>
        <charset val="134"/>
      </rPr>
      <t xml:space="preserve">                                       </t>
    </r>
    <r>
      <rPr>
        <b/>
        <sz val="20"/>
        <rFont val="黑体"/>
        <charset val="134"/>
      </rPr>
      <t>财务费用预算执行情况表</t>
    </r>
  </si>
  <si>
    <t>编制单位：九江天赐高新材料有限公司</t>
  </si>
  <si>
    <t>编制单位：安徽天孚</t>
  </si>
  <si>
    <t>编制单位：池州天赐高新材料有限公司</t>
  </si>
  <si>
    <t>编制单位：广州天赐有机硅科技有限公司</t>
  </si>
  <si>
    <t xml:space="preserve">                             -  </t>
  </si>
  <si>
    <t>编制单位：天津天赐高新材料有限公司</t>
  </si>
  <si>
    <t>编制单位：中科</t>
  </si>
  <si>
    <t>编制单位：美思</t>
  </si>
  <si>
    <t>编制单位：宁德</t>
  </si>
  <si>
    <t>编制单位：创新中心</t>
  </si>
  <si>
    <t>编制单位：香港天赐</t>
  </si>
  <si>
    <t>编制单位：天祺</t>
  </si>
  <si>
    <t>编制单位：捷克天赐</t>
  </si>
  <si>
    <t>编制单位：浙江天硕</t>
  </si>
  <si>
    <t>合并制造费用</t>
  </si>
  <si>
    <t>其中：个人护理原料</t>
  </si>
  <si>
    <t>合并制造费用率</t>
  </si>
  <si>
    <t>其中：个人护理原料产品制造费用率</t>
  </si>
  <si>
    <t>其中：锂离子电池材料产品制造费用率</t>
  </si>
  <si>
    <t>其中：有机硅橡胶材料产品制造费用率</t>
  </si>
  <si>
    <t>此表填写说明：</t>
  </si>
  <si>
    <t>1、上表制造费用按照产品一一对应填列；制造费用率=各类产品制造费用/该类产品当月生产产值</t>
  </si>
  <si>
    <t>Z-高新</t>
  </si>
  <si>
    <t>Z-九江</t>
  </si>
  <si>
    <t>Z-天祺</t>
  </si>
  <si>
    <t>Z-池州天赐</t>
  </si>
  <si>
    <t>Z-安徽天孚</t>
  </si>
  <si>
    <t>Z-中硝</t>
  </si>
  <si>
    <t>Z-天津</t>
  </si>
  <si>
    <t>Z-宁德</t>
  </si>
  <si>
    <t>Z-有机硅</t>
  </si>
  <si>
    <t>Z-宜春天赐</t>
  </si>
  <si>
    <t>Z-美思</t>
  </si>
  <si>
    <t>Z-上海吉慕特</t>
  </si>
  <si>
    <t>Z-张家港吉慕特</t>
  </si>
  <si>
    <t>Z-中天鸿锂</t>
  </si>
  <si>
    <t>高新制造费用</t>
  </si>
  <si>
    <r>
      <rPr>
        <b/>
        <sz val="11"/>
        <rFont val="黑体"/>
        <charset val="134"/>
      </rPr>
      <t xml:space="preserve">                                                    </t>
    </r>
    <r>
      <rPr>
        <b/>
        <sz val="20"/>
        <rFont val="黑体"/>
        <charset val="134"/>
      </rPr>
      <t>制造费用预算执行情况表</t>
    </r>
  </si>
  <si>
    <t>天祺制造费用</t>
  </si>
  <si>
    <t>池州天赐制造费用</t>
  </si>
  <si>
    <t>编制单位：池州天赐</t>
  </si>
  <si>
    <t>天孚制造费用</t>
  </si>
  <si>
    <t>制造费用</t>
  </si>
  <si>
    <t>编制单位：江西中硝</t>
  </si>
  <si>
    <t xml:space="preserve">                                -  </t>
  </si>
  <si>
    <t>天津制造费用</t>
  </si>
  <si>
    <t>编制单位：天津天赐</t>
  </si>
  <si>
    <t>宁德制造费用</t>
  </si>
  <si>
    <t>有机硅制造费用</t>
  </si>
  <si>
    <t>宜春天赐制造费用</t>
  </si>
  <si>
    <t>浙江美思制造费用</t>
  </si>
  <si>
    <t>上海吉慕特制造费用</t>
  </si>
  <si>
    <t>张家港制造费用</t>
  </si>
  <si>
    <t>中天鸿锂制造费用</t>
  </si>
</sst>
</file>

<file path=xl/styles.xml><?xml version="1.0" encoding="utf-8"?>
<styleSheet xmlns="http://schemas.openxmlformats.org/spreadsheetml/2006/main">
  <numFmts count="64">
    <numFmt numFmtId="176" formatCode="_ \¥* #,##0_ ;_ \¥* \-#,##0_ ;_ \¥* &quot;-&quot;_ ;_ @_ "/>
    <numFmt numFmtId="177" formatCode="_ &quot;\&quot;* #,##0.00_ ;_ &quot;\&quot;* &quot;\&quot;&quot;\&quot;&quot;\&quot;&quot;\&quot;&quot;\&quot;&quot;\&quot;&quot;\&quot;&quot;\&quot;&quot;\&quot;&quot;\&quot;\-#,##0.00_ ;_ &quot;\&quot;* &quot;-&quot;??_ ;_ @_ "/>
    <numFmt numFmtId="178" formatCode="mmm/yyyy;_-\ &quot;N/A&quot;_-;_-\ &quot;-&quot;_-"/>
    <numFmt numFmtId="179" formatCode="&quot;$&quot;#,##0_);\(&quot;$&quot;#,##0\)"/>
    <numFmt numFmtId="180" formatCode="&quot;\&quot;#,##0;[Red]&quot;\&quot;&quot;\&quot;&quot;\&quot;&quot;\&quot;&quot;\&quot;&quot;\&quot;&quot;\&quot;&quot;\&quot;&quot;\&quot;&quot;\&quot;&quot;\&quot;&quot;\&quot;\-#,##0"/>
    <numFmt numFmtId="181" formatCode="\¥#,##0;\-\¥#,##0"/>
    <numFmt numFmtId="182" formatCode="_-#0&quot;.&quot;0000_-;\(#0&quot;.&quot;0000\);_-\ \ &quot;-&quot;_-;_-@_-"/>
    <numFmt numFmtId="183" formatCode="_([$€-2]* #,##0.00_);_([$€-2]* \(#,##0.00\);_([$€-2]* &quot;-&quot;??_)"/>
    <numFmt numFmtId="184" formatCode="_(&quot;$&quot;* #,##0.00_);_(&quot;$&quot;* \(#,##0.00\);_(&quot;$&quot;* &quot;-&quot;??_);_(@_)"/>
    <numFmt numFmtId="185" formatCode="&quot;\&quot;#,##0;&quot;\&quot;&quot;\&quot;&quot;\&quot;&quot;\&quot;&quot;\&quot;&quot;\&quot;&quot;\&quot;&quot;\&quot;&quot;\&quot;&quot;\&quot;&quot;\&quot;&quot;\&quot;\-#,##0"/>
    <numFmt numFmtId="186" formatCode="* \(#,##0\);* #,##0_);&quot;-&quot;??_);@"/>
    <numFmt numFmtId="187" formatCode="_-\¥* #,##0.00_-;\-\¥* #,##0.00_-;_-\¥* &quot;-&quot;??_-;_-@_-"/>
    <numFmt numFmtId="188" formatCode="&quot;\&quot;#,##0;&quot;\&quot;&quot;\&quot;\-#,##0"/>
    <numFmt numFmtId="189" formatCode="0.0%"/>
    <numFmt numFmtId="190" formatCode="[$-F800]dddd\,\ mmmm\ dd\,\ yyyy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91" formatCode="[DBNum1][$-804]yyyy&quot;年&quot;m&quot;月&quot;;@"/>
    <numFmt numFmtId="192" formatCode="0%;\(0%\)"/>
    <numFmt numFmtId="193" formatCode="\$#,##0;\(\$#,##0\)"/>
    <numFmt numFmtId="194" formatCode="#,##0.0_);\(#,##0.0\)"/>
    <numFmt numFmtId="195" formatCode="#,##0&quot; F&quot;_);\(#,##0&quot; F&quot;\)"/>
    <numFmt numFmtId="196" formatCode="0.0"/>
    <numFmt numFmtId="197" formatCode="mmm;"/>
    <numFmt numFmtId="198" formatCode="_(* #,##0.00_);_(* \(#,##0.00\);_(* &quot;-&quot;??_);_(@_)"/>
    <numFmt numFmtId="199" formatCode="[DBNum1][$-804]yyyy&quot;年&quot;m&quot;月&quot;d&quot;日&quot;;@"/>
    <numFmt numFmtId="200" formatCode="#,##0_);[Red]\(#,##0\)"/>
    <numFmt numFmtId="201" formatCode=";;;"/>
    <numFmt numFmtId="202" formatCode="_-#0&quot;.&quot;0,_-;\(#0&quot;.&quot;0,\);_-\ \ &quot;-&quot;_-;_-@_-"/>
    <numFmt numFmtId="203" formatCode="_-#,###.00,_-;\(#,###.00,\);_-\ \ &quot;-&quot;_-;_-@_-"/>
    <numFmt numFmtId="204" formatCode="_-#,##0%_-;\(#,##0%\);_-\ &quot;-&quot;_-"/>
    <numFmt numFmtId="205" formatCode="_-#,##0_-;\(#,##0\);_-\ \ &quot;-&quot;_-;_-@_-"/>
    <numFmt numFmtId="206" formatCode="_(&quot;$&quot;* #,##0_);_(&quot;$&quot;* \(#,##0\);_(&quot;$&quot;* &quot;-&quot;_);_(@_)"/>
    <numFmt numFmtId="207" formatCode="&quot;\&quot;#,##0.00;[Red]&quot;\&quot;\-#,##0.00"/>
    <numFmt numFmtId="208" formatCode="yy&quot;年&quot;mm&quot;月&quot;"/>
    <numFmt numFmtId="209" formatCode="* #,##0_);* \(#,##0\);&quot;-&quot;??_);@"/>
    <numFmt numFmtId="210" formatCode="_ \¥* #,##0.00_ ;_ \¥* \-#,##0.00_ ;_ \¥* &quot;-&quot;??_ ;_ @_ "/>
    <numFmt numFmtId="211" formatCode="_-#,##0.00_-;\(#,##0.00\);_-\ \ &quot;-&quot;_-;_-@_-"/>
    <numFmt numFmtId="212" formatCode="_-* #,##0_-;\-* #,##0_-;_-* &quot;-&quot;??_-;_-@_-"/>
    <numFmt numFmtId="213" formatCode="&quot;\&quot;#,##0;[Red]&quot;\&quot;\-#,##0"/>
    <numFmt numFmtId="214" formatCode="&quot;$&quot;#,##0.00_);\(&quot;$&quot;#,##0.00\)"/>
    <numFmt numFmtId="215" formatCode="#,##0;\(#,##0\)"/>
    <numFmt numFmtId="216" formatCode="_-#,###,_-;\(#,###,\);_-\ \ &quot;-&quot;_-;_-@_-"/>
    <numFmt numFmtId="217" formatCode="mmm/dd/yyyy;_-\ &quot;N/A&quot;_-;_-\ &quot;-&quot;_-"/>
    <numFmt numFmtId="218" formatCode="0.00000000000_);[Red]\(0.00000000000\)"/>
    <numFmt numFmtId="219" formatCode="&quot;\&quot;#,##0.00;[Red]&quot;\&quot;&quot;\&quot;\-#,##0.00"/>
    <numFmt numFmtId="220" formatCode="&quot;$&quot;#,##0;[Red]&quot;$&quot;&quot;$&quot;&quot;$&quot;&quot;$&quot;&quot;$&quot;&quot;$&quot;&quot;$&quot;\-#,##0"/>
    <numFmt numFmtId="221" formatCode="_-* #,##0_-;\-* #,##0_-;_-* &quot;-&quot;_-;_-@_-"/>
    <numFmt numFmtId="222" formatCode="&quot;\&quot;#,##0;[Red]&quot;\&quot;&quot;\&quot;\-#,##0"/>
    <numFmt numFmtId="223" formatCode="0.000000"/>
    <numFmt numFmtId="224" formatCode="\$#,##0.00;\(\$#,##0.00\)"/>
    <numFmt numFmtId="225" formatCode="0%_);\(0%\)"/>
    <numFmt numFmtId="226" formatCode="0.00_);[Red]\(0.00\)"/>
    <numFmt numFmtId="227" formatCode="&quot;\&quot;#,##0.00;[Red]&quot;\&quot;&quot;\&quot;&quot;\&quot;&quot;\&quot;&quot;\&quot;&quot;\&quot;\-#,##0.00"/>
    <numFmt numFmtId="228" formatCode="0.00_ "/>
    <numFmt numFmtId="229" formatCode="_ * #,##0_)\ _F_ ;_ * \(#,##0\)\ _F_ ;_ * &quot;-&quot;_)\ _F_ ;_ @_ "/>
    <numFmt numFmtId="230" formatCode="0_ "/>
    <numFmt numFmtId="231" formatCode="#,##0.00_ "/>
    <numFmt numFmtId="232" formatCode="_ * #,##0_ ;_ * \-#,##0_ ;_ * &quot;-&quot;??_ ;_ @_ "/>
    <numFmt numFmtId="233" formatCode="yyyy&quot;年&quot;mm&quot;月&quot;"/>
    <numFmt numFmtId="234" formatCode="yyyy/m"/>
    <numFmt numFmtId="235" formatCode="yyyy&quot;年&quot;m&quot;月&quot;;@"/>
  </numFmts>
  <fonts count="125">
    <font>
      <sz val="11"/>
      <color theme="1"/>
      <name val="宋体"/>
      <charset val="134"/>
      <scheme val="minor"/>
    </font>
    <font>
      <sz val="2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b/>
      <sz val="10"/>
      <name val="宋体"/>
      <charset val="134"/>
    </font>
    <font>
      <sz val="10"/>
      <color indexed="9"/>
      <name val="宋体"/>
      <charset val="134"/>
    </font>
    <font>
      <sz val="12"/>
      <color indexed="8"/>
      <name val="宋体"/>
      <charset val="134"/>
    </font>
    <font>
      <sz val="12"/>
      <name val="宋体"/>
      <charset val="134"/>
    </font>
    <font>
      <b/>
      <sz val="20"/>
      <name val="黑体"/>
      <charset val="134"/>
    </font>
    <font>
      <b/>
      <sz val="9"/>
      <name val="Times New Roman"/>
      <charset val="134"/>
    </font>
    <font>
      <sz val="9"/>
      <name val="Times New Roman"/>
      <charset val="134"/>
    </font>
    <font>
      <sz val="10"/>
      <name val="Times New Roman"/>
      <charset val="134"/>
    </font>
    <font>
      <b/>
      <sz val="10"/>
      <name val="Times New Roman"/>
      <charset val="134"/>
    </font>
    <font>
      <sz val="12"/>
      <color theme="1"/>
      <name val="宋体"/>
      <charset val="134"/>
    </font>
    <font>
      <b/>
      <sz val="10"/>
      <name val="宋体"/>
      <charset val="134"/>
      <scheme val="minor"/>
    </font>
    <font>
      <b/>
      <sz val="11"/>
      <name val="黑体"/>
      <charset val="134"/>
    </font>
    <font>
      <sz val="9"/>
      <name val="宋体"/>
      <charset val="134"/>
    </font>
    <font>
      <sz val="11"/>
      <name val="宋体"/>
      <charset val="134"/>
    </font>
    <font>
      <sz val="11"/>
      <name val="Times New Roman"/>
      <charset val="134"/>
    </font>
    <font>
      <b/>
      <sz val="12"/>
      <color indexed="8"/>
      <name val="宋体"/>
      <charset val="134"/>
    </font>
    <font>
      <b/>
      <sz val="11"/>
      <name val="Times New Roman"/>
      <charset val="134"/>
    </font>
    <font>
      <sz val="10"/>
      <color indexed="8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宋体"/>
      <charset val="134"/>
    </font>
    <font>
      <b/>
      <sz val="20"/>
      <name val="宋体"/>
      <charset val="134"/>
    </font>
    <font>
      <b/>
      <sz val="10"/>
      <color indexed="8"/>
      <name val="宋体"/>
      <charset val="134"/>
    </font>
    <font>
      <sz val="10"/>
      <name val="宋体"/>
      <charset val="134"/>
      <scheme val="minor"/>
    </font>
    <font>
      <u/>
      <sz val="11"/>
      <color theme="10"/>
      <name val="宋体"/>
      <charset val="134"/>
    </font>
    <font>
      <b/>
      <sz val="12"/>
      <name val="Times New Roman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sz val="12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4"/>
      <name val="宋体"/>
      <charset val="134"/>
      <scheme val="minor"/>
    </font>
    <font>
      <sz val="12"/>
      <name val="宋体"/>
      <charset val="134"/>
      <scheme val="minor"/>
    </font>
    <font>
      <b/>
      <sz val="14"/>
      <name val="宋体"/>
      <charset val="134"/>
    </font>
    <font>
      <b/>
      <sz val="24"/>
      <name val="黑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indexed="9"/>
      <name val="宋体"/>
      <charset val="134"/>
    </font>
    <font>
      <b/>
      <sz val="11"/>
      <color theme="3"/>
      <name val="宋体"/>
      <charset val="134"/>
      <scheme val="minor"/>
    </font>
    <font>
      <b/>
      <sz val="10"/>
      <name val="MS Sans Serif"/>
      <charset val="134"/>
    </font>
    <font>
      <b/>
      <sz val="12"/>
      <name val="Arial"/>
      <charset val="134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indexed="52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indexed="63"/>
      <name val="宋体"/>
      <charset val="134"/>
    </font>
    <font>
      <sz val="11"/>
      <color indexed="17"/>
      <name val="宋体"/>
      <charset val="134"/>
    </font>
    <font>
      <sz val="11"/>
      <color indexed="60"/>
      <name val="宋体"/>
      <charset val="134"/>
    </font>
    <font>
      <sz val="11"/>
      <color indexed="20"/>
      <name val="宋体"/>
      <charset val="134"/>
    </font>
    <font>
      <i/>
      <sz val="11"/>
      <color indexed="23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indexed="8"/>
      <name val="宋体"/>
      <charset val="134"/>
    </font>
    <font>
      <b/>
      <sz val="15"/>
      <color theme="3"/>
      <name val="宋体"/>
      <charset val="134"/>
      <scheme val="minor"/>
    </font>
    <font>
      <sz val="13"/>
      <name val="Tms Rmn"/>
      <charset val="134"/>
    </font>
    <font>
      <sz val="11"/>
      <name val="明朝"/>
      <charset val="134"/>
    </font>
    <font>
      <sz val="12"/>
      <name val="Times New Roman"/>
      <charset val="134"/>
    </font>
    <font>
      <b/>
      <sz val="13"/>
      <color theme="3"/>
      <name val="宋体"/>
      <charset val="134"/>
      <scheme val="minor"/>
    </font>
    <font>
      <b/>
      <sz val="11"/>
      <color indexed="56"/>
      <name val="宋体"/>
      <charset val="134"/>
    </font>
    <font>
      <sz val="10"/>
      <name val="Arial"/>
      <charset val="134"/>
    </font>
    <font>
      <sz val="11"/>
      <color indexed="62"/>
      <name val="宋体"/>
      <charset val="134"/>
    </font>
    <font>
      <b/>
      <sz val="11"/>
      <color rgb="FF3F3F3F"/>
      <name val="宋体"/>
      <charset val="0"/>
      <scheme val="minor"/>
    </font>
    <font>
      <sz val="10"/>
      <name val="Helv"/>
      <charset val="134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indexed="56"/>
      <name val="宋体"/>
      <charset val="134"/>
    </font>
    <font>
      <b/>
      <sz val="14"/>
      <name val="楷体"/>
      <charset val="134"/>
    </font>
    <font>
      <b/>
      <sz val="13"/>
      <color indexed="56"/>
      <name val="宋体"/>
      <charset val="134"/>
    </font>
    <font>
      <sz val="11"/>
      <color theme="1"/>
      <name val="Tahoma"/>
      <charset val="134"/>
    </font>
    <font>
      <sz val="11"/>
      <color indexed="52"/>
      <name val="宋体"/>
      <charset val="134"/>
    </font>
    <font>
      <sz val="14"/>
      <name val="柧挬"/>
      <charset val="134"/>
    </font>
    <font>
      <sz val="10"/>
      <name val="MS Sans Serif"/>
      <charset val="134"/>
    </font>
    <font>
      <u val="singleAccounting"/>
      <vertAlign val="subscript"/>
      <sz val="10"/>
      <name val="Times New Roman"/>
      <charset val="134"/>
    </font>
    <font>
      <i/>
      <sz val="9"/>
      <name val="Times New Roman"/>
      <charset val="134"/>
    </font>
    <font>
      <sz val="10"/>
      <name val="楷体"/>
      <charset val="134"/>
    </font>
    <font>
      <b/>
      <sz val="13"/>
      <name val="Tms Rmn"/>
      <charset val="134"/>
    </font>
    <font>
      <b/>
      <sz val="8"/>
      <name val="Arial"/>
      <charset val="134"/>
    </font>
    <font>
      <b/>
      <sz val="18"/>
      <color indexed="56"/>
      <name val="宋体"/>
      <charset val="134"/>
    </font>
    <font>
      <sz val="8"/>
      <name val="Arial"/>
      <charset val="134"/>
    </font>
    <font>
      <u/>
      <sz val="7.5"/>
      <color indexed="36"/>
      <name val="Arial"/>
      <charset val="134"/>
    </font>
    <font>
      <sz val="11"/>
      <color indexed="10"/>
      <name val="宋体"/>
      <charset val="134"/>
    </font>
    <font>
      <sz val="10"/>
      <color indexed="8"/>
      <name val="Arial Narrow"/>
      <charset val="134"/>
    </font>
    <font>
      <sz val="8"/>
      <color indexed="16"/>
      <name val="Century Schoolbook"/>
      <charset val="134"/>
    </font>
    <font>
      <sz val="9"/>
      <color rgb="FF000000"/>
      <name val="新宋体"/>
      <charset val="134"/>
    </font>
    <font>
      <sz val="10"/>
      <name val="奔覆眉"/>
      <charset val="134"/>
    </font>
    <font>
      <sz val="12"/>
      <name val="官帕眉"/>
      <charset val="134"/>
    </font>
    <font>
      <sz val="12"/>
      <name val="바탕체"/>
      <charset val="134"/>
    </font>
    <font>
      <b/>
      <sz val="16"/>
      <name val="楷体"/>
      <charset val="134"/>
    </font>
    <font>
      <sz val="7"/>
      <name val="Small Fonts"/>
      <charset val="134"/>
    </font>
    <font>
      <sz val="11"/>
      <name val="ＭＳ Ｐゴシック"/>
      <charset val="134"/>
    </font>
    <font>
      <sz val="10"/>
      <name val="Geneva"/>
      <charset val="134"/>
    </font>
    <font>
      <sz val="8"/>
      <name val="Century Schoolbook"/>
      <charset val="134"/>
    </font>
    <font>
      <u/>
      <sz val="10"/>
      <color indexed="12"/>
      <name val="宋体"/>
      <charset val="134"/>
    </font>
    <font>
      <sz val="8"/>
      <name val="Times New Roman"/>
      <charset val="134"/>
    </font>
    <font>
      <sz val="7"/>
      <name val="Helv"/>
      <charset val="134"/>
    </font>
    <font>
      <b/>
      <sz val="10"/>
      <name val="Arial"/>
      <charset val="134"/>
    </font>
    <font>
      <u/>
      <sz val="7.5"/>
      <color indexed="12"/>
      <name val="Arial"/>
      <charset val="134"/>
    </font>
    <font>
      <sz val="10"/>
      <name val="Courier"/>
      <charset val="134"/>
    </font>
    <font>
      <sz val="10"/>
      <color indexed="8"/>
      <name val="MS Sans Serif"/>
      <charset val="134"/>
    </font>
    <font>
      <sz val="7"/>
      <color indexed="10"/>
      <name val="Helv"/>
      <charset val="134"/>
    </font>
    <font>
      <b/>
      <sz val="14"/>
      <color indexed="8"/>
      <name val="宋体"/>
      <charset val="134"/>
    </font>
    <font>
      <sz val="9"/>
      <color indexed="8"/>
      <name val="宋体"/>
      <charset val="134"/>
    </font>
    <font>
      <b/>
      <i/>
      <sz val="10"/>
      <name val="Times New Roman"/>
      <charset val="134"/>
    </font>
    <font>
      <b/>
      <sz val="12"/>
      <name val="MS Sans Serif"/>
      <charset val="134"/>
    </font>
    <font>
      <sz val="12"/>
      <name val="MS Sans Serif"/>
      <charset val="134"/>
    </font>
    <font>
      <b/>
      <sz val="10"/>
      <color indexed="10"/>
      <name val="Arial"/>
      <charset val="134"/>
    </font>
    <font>
      <sz val="10"/>
      <name val="Arial Narrow"/>
      <charset val="134"/>
    </font>
    <font>
      <sz val="11"/>
      <color indexed="8"/>
      <name val="Tahoma"/>
      <charset val="134"/>
    </font>
    <font>
      <u/>
      <sz val="12"/>
      <color indexed="12"/>
      <name val="宋体"/>
      <charset val="134"/>
    </font>
    <font>
      <sz val="12"/>
      <name val="柧挬"/>
      <charset val="134"/>
    </font>
    <font>
      <sz val="9"/>
      <name val="Tahoma"/>
      <charset val="134"/>
    </font>
    <font>
      <b/>
      <sz val="9"/>
      <name val="Tahoma"/>
      <charset val="134"/>
    </font>
    <font>
      <sz val="9"/>
      <name val="宋体"/>
      <charset val="134"/>
    </font>
    <font>
      <b/>
      <sz val="9"/>
      <name val="宋体"/>
      <charset val="134"/>
    </font>
  </fonts>
  <fills count="7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8" tint="0.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4" tint="0.79955442976165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5" tint="0.79955442976165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79955442976165"/>
        <bgColor indexed="64"/>
      </patternFill>
    </fill>
    <fill>
      <patternFill patternType="solid">
        <fgColor theme="7" tint="0.79955442976165"/>
        <bgColor indexed="64"/>
      </patternFill>
    </fill>
    <fill>
      <patternFill patternType="solid">
        <fgColor theme="8" tint="0.79955442976165"/>
        <bgColor indexed="64"/>
      </patternFill>
    </fill>
    <fill>
      <patternFill patternType="solid">
        <fgColor theme="9" tint="0.79955442976165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834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12" fillId="0" borderId="0" applyNumberFormat="0" applyFill="0" applyBorder="0" applyAlignment="0" applyProtection="0"/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3" fillId="35" borderId="17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22" fillId="0" borderId="0">
      <alignment vertical="top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41" fontId="0" fillId="0" borderId="0" applyFon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50" fillId="4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0" fontId="0" fillId="40" borderId="20" applyNumberFormat="0" applyFon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1" fillId="4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0" fontId="48" fillId="0" borderId="0" applyNumberFormat="0" applyFill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22" fillId="0" borderId="0">
      <alignment vertical="top"/>
    </xf>
    <xf numFmtId="0" fontId="40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62" fillId="0" borderId="26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2" fontId="63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65" fillId="0" borderId="0"/>
    <xf numFmtId="0" fontId="57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66" fillId="0" borderId="26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1" fillId="5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79" fontId="46" fillId="0" borderId="19" applyAlignment="0" applyProtection="0"/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5" fillId="0" borderId="23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1" fillId="5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65" fillId="0" borderId="0"/>
    <xf numFmtId="190" fontId="67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70" fillId="49" borderId="27" applyNumberFormat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53" fillId="49" borderId="17" applyNumberFormat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72" fillId="61" borderId="29" applyNumberFormat="0" applyAlignment="0" applyProtection="0">
      <alignment vertical="center"/>
    </xf>
    <xf numFmtId="183" fontId="22" fillId="0" borderId="0">
      <alignment vertical="top"/>
    </xf>
    <xf numFmtId="0" fontId="42" fillId="48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73" fillId="0" borderId="30" applyNumberFormat="0" applyFill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65" fillId="0" borderId="0"/>
    <xf numFmtId="183" fontId="67" fillId="0" borderId="0" applyNumberFormat="0" applyFill="0" applyBorder="0" applyAlignment="0" applyProtection="0">
      <alignment vertical="center"/>
    </xf>
    <xf numFmtId="0" fontId="75" fillId="62" borderId="0" applyNumberFormat="0" applyBorder="0" applyAlignment="0" applyProtection="0">
      <alignment vertical="center"/>
    </xf>
    <xf numFmtId="199" fontId="12" fillId="0" borderId="0" applyNumberFormat="0" applyFill="0" applyBorder="0" applyAlignment="0" applyProtection="0"/>
    <xf numFmtId="190" fontId="8" fillId="0" borderId="0" applyNumberFormat="0" applyFont="0" applyFill="0" applyBorder="0" applyAlignment="0" applyProtection="0"/>
    <xf numFmtId="191" fontId="39" fillId="25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24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2" fillId="5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42" fillId="6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89" fontId="63" fillId="0" borderId="0" applyFont="0" applyFill="0" applyBorder="0" applyAlignment="0" applyProtection="0"/>
    <xf numFmtId="0" fontId="54" fillId="2" borderId="22" applyNumberFormat="0" applyAlignment="0" applyProtection="0">
      <alignment vertical="center"/>
    </xf>
    <xf numFmtId="0" fontId="42" fillId="5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1" fillId="2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1" fillId="5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42" fillId="6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1" fillId="5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41" fillId="65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42" fillId="5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8" fillId="0" borderId="0"/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22" fillId="0" borderId="0">
      <alignment vertical="top"/>
    </xf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68" fillId="0" borderId="0"/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12" fillId="0" borderId="0" applyNumberForma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49" fontId="12" fillId="0" borderId="0" applyProtection="0">
      <alignment horizontal="left"/>
    </xf>
    <xf numFmtId="190" fontId="39" fillId="25" borderId="0" applyNumberFormat="0" applyBorder="0" applyAlignment="0" applyProtection="0">
      <alignment vertical="center"/>
    </xf>
    <xf numFmtId="183" fontId="68" fillId="0" borderId="0"/>
    <xf numFmtId="190" fontId="40" fillId="4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68" fillId="0" borderId="0" applyBorder="0"/>
    <xf numFmtId="190" fontId="39" fillId="11" borderId="0" applyNumberFormat="0" applyBorder="0" applyAlignment="0" applyProtection="0">
      <alignment vertical="center"/>
    </xf>
    <xf numFmtId="183" fontId="68" fillId="0" borderId="0"/>
    <xf numFmtId="0" fontId="39" fillId="9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68" fillId="0" borderId="0"/>
    <xf numFmtId="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22" fillId="0" borderId="0">
      <alignment vertical="top"/>
    </xf>
    <xf numFmtId="43" fontId="0" fillId="0" borderId="0" applyFont="0" applyFill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12" fillId="0" borderId="0" applyNumberForma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9" fontId="68" fillId="0" borderId="0" applyBorder="0"/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12" fillId="0" borderId="0" applyNumberForma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83" fontId="68" fillId="0" borderId="0" applyBorder="0"/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68" fillId="0" borderId="0" applyBorder="0"/>
    <xf numFmtId="191" fontId="22" fillId="0" borderId="0">
      <alignment vertical="top"/>
    </xf>
    <xf numFmtId="183" fontId="68" fillId="0" borderId="0" applyBorder="0"/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68" fillId="0" borderId="0" applyBorder="0"/>
    <xf numFmtId="190" fontId="39" fillId="25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68" fillId="0" borderId="0" applyBorder="0"/>
    <xf numFmtId="183" fontId="22" fillId="0" borderId="0">
      <alignment vertical="top"/>
      <protection locked="0"/>
    </xf>
    <xf numFmtId="0" fontId="0" fillId="53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22" fillId="0" borderId="0">
      <alignment vertical="top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12" borderId="0" applyNumberFormat="0" applyBorder="0" applyAlignment="0" applyProtection="0">
      <alignment vertical="center"/>
    </xf>
    <xf numFmtId="0" fontId="0" fillId="0" borderId="0">
      <alignment vertical="center"/>
    </xf>
    <xf numFmtId="190" fontId="22" fillId="0" borderId="0">
      <alignment vertical="top"/>
    </xf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1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4" borderId="0" applyNumberFormat="0" applyBorder="0" applyAlignment="0" applyProtection="0">
      <alignment vertical="center"/>
    </xf>
    <xf numFmtId="0" fontId="22" fillId="0" borderId="0">
      <alignment vertical="top"/>
    </xf>
    <xf numFmtId="191" fontId="57" fillId="26" borderId="0" applyNumberFormat="0" applyBorder="0" applyAlignment="0" applyProtection="0">
      <alignment vertical="center"/>
    </xf>
    <xf numFmtId="183" fontId="22" fillId="0" borderId="0">
      <alignment vertical="top"/>
    </xf>
    <xf numFmtId="190" fontId="57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9" fontId="22" fillId="0" borderId="0">
      <alignment vertical="top"/>
    </xf>
    <xf numFmtId="183" fontId="78" fillId="0" borderId="34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65" fillId="0" borderId="0"/>
    <xf numFmtId="190" fontId="67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22" fillId="0" borderId="0">
      <alignment vertical="top"/>
    </xf>
    <xf numFmtId="183" fontId="65" fillId="0" borderId="0"/>
    <xf numFmtId="190" fontId="67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22" fillId="0" borderId="0">
      <alignment vertical="top"/>
    </xf>
    <xf numFmtId="190" fontId="57" fillId="26" borderId="0" applyNumberFormat="0" applyBorder="0" applyAlignment="0" applyProtection="0">
      <alignment vertical="center"/>
    </xf>
    <xf numFmtId="183" fontId="22" fillId="0" borderId="0">
      <alignment vertical="top"/>
    </xf>
    <xf numFmtId="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9" borderId="0" applyNumberFormat="0" applyBorder="0" applyAlignment="0" applyProtection="0">
      <alignment vertical="center"/>
    </xf>
    <xf numFmtId="191" fontId="22" fillId="0" borderId="0">
      <alignment vertical="top"/>
    </xf>
    <xf numFmtId="0" fontId="39" fillId="28" borderId="0" applyNumberFormat="0" applyBorder="0" applyAlignment="0" applyProtection="0">
      <alignment vertical="center"/>
    </xf>
    <xf numFmtId="0" fontId="22" fillId="0" borderId="0">
      <alignment vertical="top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32" borderId="0" applyNumberFormat="0" applyBorder="0" applyAlignment="0" applyProtection="0">
      <alignment vertical="center"/>
    </xf>
    <xf numFmtId="191" fontId="22" fillId="0" borderId="0">
      <alignment vertical="top"/>
    </xf>
    <xf numFmtId="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22" fillId="0" borderId="0">
      <alignment vertical="top"/>
    </xf>
    <xf numFmtId="0" fontId="40" fillId="3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22" fillId="0" borderId="0">
      <alignment vertical="top"/>
    </xf>
    <xf numFmtId="191" fontId="22" fillId="0" borderId="0">
      <alignment vertical="top"/>
    </xf>
    <xf numFmtId="190" fontId="22" fillId="0" borderId="0">
      <alignment vertical="top"/>
    </xf>
    <xf numFmtId="0" fontId="0" fillId="6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11" borderId="0" applyNumberFormat="0" applyBorder="0" applyAlignment="0" applyProtection="0">
      <alignment vertical="center"/>
    </xf>
    <xf numFmtId="0" fontId="22" fillId="0" borderId="0">
      <alignment vertical="top"/>
    </xf>
    <xf numFmtId="0" fontId="51" fillId="2" borderId="21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1" fontId="22" fillId="0" borderId="0">
      <alignment vertical="top"/>
    </xf>
    <xf numFmtId="0" fontId="51" fillId="2" borderId="21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22" fillId="0" borderId="0">
      <alignment vertical="top"/>
    </xf>
    <xf numFmtId="0" fontId="39" fillId="1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22" fillId="0" borderId="0">
      <alignment vertical="top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22" fillId="0" borderId="0">
      <alignment vertical="top"/>
    </xf>
    <xf numFmtId="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22" fillId="0" borderId="0">
      <alignment vertical="top"/>
    </xf>
    <xf numFmtId="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1" fontId="22" fillId="0" borderId="0">
      <alignment vertical="top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205" fontId="12" fillId="0" borderId="0" applyFill="0" applyBorder="0" applyProtection="0">
      <alignment horizontal="right"/>
    </xf>
    <xf numFmtId="0" fontId="40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22" fillId="0" borderId="0">
      <alignment vertical="top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28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22" fillId="0" borderId="0">
      <alignment vertical="top"/>
    </xf>
    <xf numFmtId="190" fontId="39" fillId="24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/>
    <xf numFmtId="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22" fillId="0" borderId="0">
      <alignment vertical="top"/>
    </xf>
    <xf numFmtId="190" fontId="40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22" fillId="0" borderId="0">
      <alignment vertical="top"/>
    </xf>
    <xf numFmtId="190" fontId="8" fillId="0" borderId="0" applyNumberFormat="0" applyFont="0" applyFill="0" applyBorder="0" applyAlignment="0" applyProtection="0"/>
    <xf numFmtId="0" fontId="22" fillId="0" borderId="0">
      <alignment vertical="top"/>
    </xf>
    <xf numFmtId="191" fontId="22" fillId="0" borderId="0">
      <alignment vertical="top"/>
    </xf>
    <xf numFmtId="183" fontId="56" fillId="7" borderId="0" applyNumberFormat="0" applyBorder="0" applyAlignment="0" applyProtection="0">
      <alignment vertical="center"/>
    </xf>
    <xf numFmtId="183" fontId="22" fillId="0" borderId="0">
      <alignment vertical="top"/>
    </xf>
    <xf numFmtId="190" fontId="22" fillId="0" borderId="0">
      <alignment vertical="top"/>
    </xf>
    <xf numFmtId="190" fontId="8" fillId="0" borderId="0" applyNumberFormat="0" applyFont="0" applyFill="0" applyBorder="0" applyAlignment="0" applyProtection="0"/>
    <xf numFmtId="0" fontId="22" fillId="0" borderId="0">
      <alignment vertical="top"/>
    </xf>
    <xf numFmtId="190" fontId="39" fillId="9" borderId="0" applyNumberFormat="0" applyBorder="0" applyAlignment="0" applyProtection="0">
      <alignment vertical="center"/>
    </xf>
    <xf numFmtId="0" fontId="47" fillId="0" borderId="33" applyNumberFormat="0" applyAlignment="0" applyProtection="0">
      <alignment horizontal="left" vertical="center"/>
    </xf>
    <xf numFmtId="183" fontId="8" fillId="13" borderId="24" applyNumberFormat="0" applyFon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22" fillId="0" borderId="0">
      <alignment vertical="top"/>
    </xf>
    <xf numFmtId="190" fontId="8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22" fillId="0" borderId="0">
      <alignment vertical="top"/>
    </xf>
    <xf numFmtId="191" fontId="22" fillId="0" borderId="0">
      <alignment vertical="top"/>
    </xf>
    <xf numFmtId="190" fontId="22" fillId="0" borderId="0">
      <alignment vertical="top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22" fillId="0" borderId="0">
      <alignment vertical="top"/>
    </xf>
    <xf numFmtId="0" fontId="22" fillId="0" borderId="0">
      <alignment vertical="top"/>
    </xf>
    <xf numFmtId="183" fontId="39" fillId="24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1" fontId="22" fillId="0" borderId="0">
      <alignment vertical="top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190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191" fontId="22" fillId="0" borderId="0">
      <alignment vertical="top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22" fillId="0" borderId="0">
      <alignment vertical="top"/>
    </xf>
    <xf numFmtId="183" fontId="39" fillId="25" borderId="0" applyNumberFormat="0" applyBorder="0" applyAlignment="0" applyProtection="0">
      <alignment vertical="center"/>
    </xf>
    <xf numFmtId="191" fontId="22" fillId="0" borderId="0">
      <alignment vertical="top"/>
    </xf>
    <xf numFmtId="191" fontId="40" fillId="28" borderId="0" applyNumberFormat="0" applyBorder="0" applyAlignment="0" applyProtection="0">
      <alignment vertical="center"/>
    </xf>
    <xf numFmtId="190" fontId="22" fillId="0" borderId="0">
      <alignment vertical="top"/>
    </xf>
    <xf numFmtId="183" fontId="39" fillId="25" borderId="0" applyNumberFormat="0" applyBorder="0" applyAlignment="0" applyProtection="0">
      <alignment vertical="center"/>
    </xf>
    <xf numFmtId="183" fontId="22" fillId="0" borderId="0">
      <alignment vertical="top"/>
    </xf>
    <xf numFmtId="191" fontId="39" fillId="9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190" fontId="8" fillId="0" borderId="0"/>
    <xf numFmtId="0" fontId="39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191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183" fontId="54" fillId="2" borderId="22" applyNumberFormat="0" applyAlignment="0" applyProtection="0">
      <alignment vertical="center"/>
    </xf>
    <xf numFmtId="183" fontId="22" fillId="0" borderId="0">
      <alignment vertical="top"/>
    </xf>
    <xf numFmtId="183" fontId="22" fillId="0" borderId="0">
      <alignment vertical="top"/>
    </xf>
    <xf numFmtId="190" fontId="67" fillId="0" borderId="35" applyNumberFormat="0" applyFill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22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190" fontId="8" fillId="0" borderId="0" applyNumberFormat="0" applyFont="0" applyFill="0" applyBorder="0" applyAlignment="0" applyProtection="0"/>
    <xf numFmtId="190" fontId="40" fillId="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191" fontId="39" fillId="32" borderId="0" applyNumberFormat="0" applyBorder="0" applyAlignment="0" applyProtection="0">
      <alignment vertical="center"/>
    </xf>
    <xf numFmtId="188" fontId="8" fillId="0" borderId="0"/>
    <xf numFmtId="0" fontId="39" fillId="30" borderId="0" applyNumberFormat="0" applyBorder="0" applyAlignment="0" applyProtection="0">
      <alignment vertical="center"/>
    </xf>
    <xf numFmtId="190" fontId="8" fillId="0" borderId="0"/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22" fillId="0" borderId="0">
      <alignment vertical="top"/>
    </xf>
    <xf numFmtId="0" fontId="39" fillId="12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11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12" borderId="0" applyNumberFormat="0" applyBorder="0" applyAlignment="0" applyProtection="0">
      <alignment vertical="center"/>
    </xf>
    <xf numFmtId="183" fontId="22" fillId="0" borderId="0">
      <alignment vertical="top"/>
    </xf>
    <xf numFmtId="190" fontId="40" fillId="9" borderId="0" applyNumberFormat="0" applyBorder="0" applyAlignment="0" applyProtection="0">
      <alignment vertical="center"/>
    </xf>
    <xf numFmtId="183" fontId="22" fillId="0" borderId="0">
      <alignment vertical="top"/>
    </xf>
    <xf numFmtId="183" fontId="22" fillId="0" borderId="0">
      <alignment vertical="top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47" fillId="0" borderId="7">
      <alignment horizontal="left" vertical="center"/>
    </xf>
    <xf numFmtId="0" fontId="22" fillId="0" borderId="0">
      <alignment vertical="top"/>
    </xf>
    <xf numFmtId="19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4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22" fillId="0" borderId="0">
      <alignment vertical="top"/>
    </xf>
    <xf numFmtId="190" fontId="39" fillId="25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0" fontId="40" fillId="41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22" fillId="0" borderId="0">
      <alignment vertical="top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22" fillId="0" borderId="0">
      <alignment vertical="top"/>
      <protection locked="0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0" fontId="65" fillId="0" borderId="0"/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9" fontId="65" fillId="0" borderId="0"/>
    <xf numFmtId="0" fontId="39" fillId="11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5" fillId="0" borderId="0"/>
    <xf numFmtId="0" fontId="39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83" fontId="22" fillId="0" borderId="0">
      <alignment vertical="top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25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0" fontId="0" fillId="6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0" fontId="22" fillId="0" borderId="0">
      <alignment vertical="top"/>
    </xf>
    <xf numFmtId="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22" fillId="0" borderId="0">
      <alignment vertical="top"/>
    </xf>
    <xf numFmtId="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83" fontId="22" fillId="0" borderId="0">
      <alignment vertical="top"/>
      <protection locked="0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83" fontId="22" fillId="0" borderId="0">
      <alignment vertical="top"/>
    </xf>
    <xf numFmtId="190" fontId="39" fillId="25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/>
    <xf numFmtId="183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24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9" borderId="0" applyNumberFormat="0" applyBorder="0" applyAlignment="0" applyProtection="0">
      <alignment vertical="center"/>
    </xf>
    <xf numFmtId="183" fontId="22" fillId="0" borderId="0">
      <alignment vertical="top"/>
      <protection locked="0"/>
    </xf>
    <xf numFmtId="190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0" borderId="0"/>
    <xf numFmtId="190" fontId="39" fillId="28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22" fillId="0" borderId="0">
      <alignment vertical="top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7" fillId="0" borderId="0" applyNumberFormat="0" applyFill="0" applyBorder="0" applyAlignment="0" applyProtection="0">
      <alignment vertical="center"/>
    </xf>
    <xf numFmtId="183" fontId="22" fillId="0" borderId="0">
      <alignment vertical="top"/>
      <protection locked="0"/>
    </xf>
    <xf numFmtId="0" fontId="39" fillId="24" borderId="0" applyNumberFormat="0" applyBorder="0" applyAlignment="0" applyProtection="0">
      <alignment vertical="center"/>
    </xf>
    <xf numFmtId="183" fontId="22" fillId="0" borderId="0">
      <alignment vertical="top"/>
    </xf>
    <xf numFmtId="183" fontId="22" fillId="0" borderId="0">
      <alignment vertical="top"/>
      <protection locked="0"/>
    </xf>
    <xf numFmtId="183" fontId="8" fillId="13" borderId="24" applyNumberFormat="0" applyFon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68" fillId="0" borderId="0" applyNumberForma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47" fillId="0" borderId="7">
      <alignment horizontal="left" vertical="center"/>
    </xf>
    <xf numFmtId="211" fontId="12" fillId="0" borderId="0" applyFill="0" applyBorder="0" applyProtection="0">
      <alignment horizontal="right"/>
    </xf>
    <xf numFmtId="190" fontId="8" fillId="0" borderId="0" applyNumberFormat="0" applyFont="0" applyFill="0" applyBorder="0" applyAlignment="0" applyProtection="0"/>
    <xf numFmtId="0" fontId="82" fillId="0" borderId="0"/>
    <xf numFmtId="190" fontId="40" fillId="2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217" fontId="83" fillId="0" borderId="0" applyFill="0" applyBorder="0" applyProtection="0">
      <alignment horizontal="center"/>
    </xf>
    <xf numFmtId="0" fontId="55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216" fontId="12" fillId="0" borderId="0" applyFill="0" applyBorder="0" applyProtection="0">
      <alignment horizontal="right"/>
    </xf>
    <xf numFmtId="178" fontId="83" fillId="0" borderId="0" applyFill="0" applyBorder="0" applyProtection="0">
      <alignment horizont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204" fontId="84" fillId="0" borderId="0" applyFill="0" applyBorder="0" applyProtection="0">
      <alignment horizontal="right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203" fontId="12" fillId="0" borderId="0" applyFill="0" applyBorder="0" applyProtection="0">
      <alignment horizontal="right"/>
    </xf>
    <xf numFmtId="190" fontId="39" fillId="30" borderId="0" applyNumberFormat="0" applyBorder="0" applyAlignment="0" applyProtection="0">
      <alignment vertical="center"/>
    </xf>
    <xf numFmtId="202" fontId="12" fillId="0" borderId="0" applyFill="0" applyBorder="0" applyProtection="0">
      <alignment horizontal="right"/>
    </xf>
    <xf numFmtId="182" fontId="12" fillId="0" borderId="0" applyFill="0" applyBorder="0" applyProtection="0">
      <alignment horizontal="right"/>
    </xf>
    <xf numFmtId="0" fontId="39" fillId="24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0" fontId="63" fillId="0" borderId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81" fontId="8" fillId="0" borderId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8" fillId="0" borderId="0"/>
    <xf numFmtId="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0" fillId="6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8" fillId="0" borderId="0"/>
    <xf numFmtId="183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87" fillId="0" borderId="3">
      <alignment horizontal="center"/>
    </xf>
    <xf numFmtId="0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8" fillId="0" borderId="0"/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0" fillId="6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0" fillId="0" borderId="0">
      <alignment vertical="center"/>
    </xf>
    <xf numFmtId="190" fontId="57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0" fillId="7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0" fillId="0" borderId="0"/>
    <xf numFmtId="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9" fontId="82" fillId="0" borderId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39" fillId="24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2" fillId="0" borderId="0"/>
    <xf numFmtId="190" fontId="39" fillId="24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6" fillId="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79" fontId="46" fillId="0" borderId="19" applyAlignment="0" applyProtection="0"/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8" fillId="0" borderId="0">
      <alignment vertical="top"/>
    </xf>
    <xf numFmtId="190" fontId="40" fillId="43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0" fillId="0" borderId="0">
      <alignment vertical="center"/>
    </xf>
    <xf numFmtId="183" fontId="39" fillId="24" borderId="0" applyNumberFormat="0" applyBorder="0" applyAlignment="0" applyProtection="0">
      <alignment vertical="center"/>
    </xf>
    <xf numFmtId="183" fontId="0" fillId="0" borderId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58" fillId="0" borderId="0" applyNumberFormat="0" applyFill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9" fontId="64" fillId="0" borderId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0" fillId="67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1" fontId="39" fillId="2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4" borderId="0" applyNumberFormat="0" applyBorder="0" applyAlignment="0" applyProtection="0">
      <alignment vertical="center"/>
    </xf>
    <xf numFmtId="183" fontId="39" fillId="2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79" fontId="46" fillId="0" borderId="19" applyAlignment="0" applyProtection="0"/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39" fillId="26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9" fontId="82" fillId="0" borderId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2" fillId="0" borderId="0"/>
    <xf numFmtId="9" fontId="8" fillId="0" borderId="0" applyFont="0" applyFill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2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12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0" borderId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3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72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6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7" fillId="26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4" fontId="93" fillId="0" borderId="0">
      <alignment horizontal="right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9" fontId="65" fillId="0" borderId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9" fontId="82" fillId="0" borderId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41" fontId="8" fillId="0" borderId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41" fontId="8" fillId="0" borderId="0" applyFont="0" applyFill="0" applyBorder="0" applyAlignment="0" applyProtection="0"/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71" fillId="0" borderId="0"/>
    <xf numFmtId="19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79" fillId="0" borderId="0"/>
    <xf numFmtId="190" fontId="39" fillId="26" borderId="0" applyNumberFormat="0" applyBorder="0" applyAlignment="0" applyProtection="0">
      <alignment vertical="center"/>
    </xf>
    <xf numFmtId="0" fontId="8" fillId="0" borderId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1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82" fillId="0" borderId="0"/>
    <xf numFmtId="190" fontId="39" fillId="26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39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94" fillId="0" borderId="2" applyNumberFormat="0" applyFill="0" applyProtection="0">
      <alignment horizontal="left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8" fillId="0" borderId="0"/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8" fillId="0" borderId="0">
      <alignment vertical="top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1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2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/>
    <xf numFmtId="19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43" fontId="82" fillId="0" borderId="0" applyFont="0" applyFill="0" applyBorder="0" applyAlignment="0" applyProtection="0"/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0" fontId="0" fillId="73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74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0" fillId="0" borderId="0">
      <alignment vertical="center"/>
    </xf>
    <xf numFmtId="0" fontId="0" fillId="73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1" fontId="85" fillId="0" borderId="28" applyNumberFormat="0" applyFill="0" applyProtection="0">
      <alignment horizontal="left"/>
    </xf>
    <xf numFmtId="183" fontId="39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183" fontId="8" fillId="0" borderId="0"/>
    <xf numFmtId="183" fontId="39" fillId="1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0" fontId="47" fillId="0" borderId="7">
      <alignment horizontal="left"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7" fillId="0" borderId="7">
      <alignment horizontal="left" vertical="center"/>
    </xf>
    <xf numFmtId="183" fontId="39" fillId="25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8" fillId="0" borderId="0"/>
    <xf numFmtId="183" fontId="92" fillId="0" borderId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7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8" fillId="0" borderId="0"/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9" fontId="82" fillId="0" borderId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0" fillId="7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0" borderId="0"/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183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22" fillId="0" borderId="0">
      <alignment vertical="top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7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22" fillId="0" borderId="0">
      <alignment vertical="top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79" fillId="0" borderId="0"/>
    <xf numFmtId="19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8" fillId="0" borderId="0"/>
    <xf numFmtId="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1" fontId="85" fillId="0" borderId="28" applyNumberFormat="0" applyFill="0" applyProtection="0">
      <alignment horizontal="left"/>
    </xf>
    <xf numFmtId="183" fontId="39" fillId="32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83" fontId="44" fillId="10" borderId="18" applyNumberFormat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1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95" fillId="0" borderId="0"/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90" fontId="39" fillId="32" borderId="0" applyNumberFormat="0" applyBorder="0" applyAlignment="0" applyProtection="0">
      <alignment vertical="center"/>
    </xf>
    <xf numFmtId="183" fontId="39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1" fontId="39" fillId="25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213" fontId="96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83" fontId="8" fillId="0" borderId="0"/>
    <xf numFmtId="190" fontId="39" fillId="25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0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31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9" fontId="71" fillId="0" borderId="0"/>
    <xf numFmtId="183" fontId="39" fillId="25" borderId="0" applyNumberFormat="0" applyBorder="0" applyAlignment="0" applyProtection="0">
      <alignment vertical="center"/>
    </xf>
    <xf numFmtId="208" fontId="71" fillId="0" borderId="0"/>
    <xf numFmtId="0" fontId="39" fillId="25" borderId="0" applyNumberFormat="0" applyBorder="0" applyAlignment="0" applyProtection="0">
      <alignment vertical="center"/>
    </xf>
    <xf numFmtId="0" fontId="22" fillId="0" borderId="0">
      <alignment vertical="top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0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8" fillId="0" borderId="0"/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0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51" fillId="2" borderId="21" applyNumberFormat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63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51" fillId="2" borderId="21" applyNumberFormat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43" fontId="39" fillId="0" borderId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30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9" fontId="8" fillId="0" borderId="0">
      <alignment vertical="top"/>
    </xf>
    <xf numFmtId="190" fontId="39" fillId="30" borderId="0" applyNumberFormat="0" applyBorder="0" applyAlignment="0" applyProtection="0">
      <alignment vertical="center"/>
    </xf>
    <xf numFmtId="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1" fontId="0" fillId="0" borderId="0">
      <alignment vertical="center"/>
    </xf>
    <xf numFmtId="0" fontId="39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0" fillId="76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0" fillId="68" borderId="0" applyNumberFormat="0" applyBorder="0" applyAlignment="0" applyProtection="0">
      <alignment vertical="center"/>
    </xf>
    <xf numFmtId="0" fontId="0" fillId="0" borderId="0">
      <alignment vertical="center"/>
    </xf>
    <xf numFmtId="183" fontId="40" fillId="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0" borderId="0" applyNumberFormat="0" applyBorder="0" applyAlignment="0" applyProtection="0">
      <alignment vertical="center"/>
    </xf>
    <xf numFmtId="191" fontId="0" fillId="0" borderId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3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82" fillId="0" borderId="0"/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39" fillId="30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83" fontId="39" fillId="30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83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3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0" borderId="0">
      <alignment vertical="center"/>
    </xf>
    <xf numFmtId="190" fontId="39" fillId="30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0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0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83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9" fontId="82" fillId="0" borderId="0"/>
    <xf numFmtId="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9" fontId="82" fillId="0" borderId="0"/>
    <xf numFmtId="190" fontId="39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1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43" fontId="82" fillId="0" borderId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22" fillId="0" borderId="0">
      <alignment vertical="top"/>
    </xf>
    <xf numFmtId="183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9" fontId="0" fillId="0" borderId="0">
      <alignment vertical="center"/>
    </xf>
    <xf numFmtId="190" fontId="39" fillId="12" borderId="0" applyNumberFormat="0" applyBorder="0" applyAlignment="0" applyProtection="0">
      <alignment vertical="center"/>
    </xf>
    <xf numFmtId="0" fontId="22" fillId="0" borderId="0">
      <alignment vertical="top"/>
    </xf>
    <xf numFmtId="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0" fillId="77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0" fillId="70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37" fontId="99" fillId="0" borderId="0"/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0" fillId="0" borderId="0">
      <alignment vertical="center"/>
    </xf>
    <xf numFmtId="191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55" fillId="32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83" fontId="92" fillId="0" borderId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1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190" fontId="39" fillId="12" borderId="0" applyNumberFormat="0" applyBorder="0" applyAlignment="0" applyProtection="0">
      <alignment vertical="center"/>
    </xf>
    <xf numFmtId="183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65" fillId="0" borderId="0" applyBorder="0"/>
    <xf numFmtId="0" fontId="44" fillId="10" borderId="18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8" fillId="0" borderId="0"/>
    <xf numFmtId="190" fontId="39" fillId="11" borderId="0" applyNumberFormat="0" applyBorder="0" applyAlignment="0" applyProtection="0">
      <alignment vertical="center"/>
    </xf>
    <xf numFmtId="190" fontId="8" fillId="0" borderId="0"/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0" fillId="6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/>
    <xf numFmtId="0" fontId="0" fillId="6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9" fontId="8" fillId="0" borderId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8" fillId="0" borderId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8" fillId="0" borderId="0"/>
    <xf numFmtId="190" fontId="39" fillId="9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8" fillId="0" borderId="0">
      <alignment vertical="top"/>
    </xf>
    <xf numFmtId="183" fontId="39" fillId="11" borderId="0" applyNumberFormat="0" applyBorder="0" applyAlignment="0" applyProtection="0">
      <alignment vertical="center"/>
    </xf>
    <xf numFmtId="183" fontId="8" fillId="0" borderId="0">
      <alignment vertical="top"/>
    </xf>
    <xf numFmtId="0" fontId="39" fillId="1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8" fillId="0" borderId="0">
      <alignment vertical="top"/>
    </xf>
    <xf numFmtId="183" fontId="39" fillId="11" borderId="0" applyNumberFormat="0" applyBorder="0" applyAlignment="0" applyProtection="0">
      <alignment vertical="center"/>
    </xf>
    <xf numFmtId="200" fontId="8" fillId="0" borderId="0">
      <alignment vertical="top"/>
    </xf>
    <xf numFmtId="183" fontId="8" fillId="0" borderId="0">
      <alignment vertical="top"/>
    </xf>
    <xf numFmtId="0" fontId="39" fillId="11" borderId="0" applyNumberFormat="0" applyBorder="0" applyAlignment="0" applyProtection="0">
      <alignment vertical="center"/>
    </xf>
    <xf numFmtId="200" fontId="8" fillId="0" borderId="0">
      <alignment vertical="top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39" fontId="63" fillId="0" borderId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8" fillId="0" borderId="0"/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2" fillId="0" borderId="0"/>
    <xf numFmtId="0" fontId="54" fillId="2" borderId="22" applyNumberFormat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39" fillId="28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0" fillId="53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0" fillId="53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39" fillId="28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98" fillId="0" borderId="37" applyNumberFormat="0" applyFill="0" applyProtection="0">
      <alignment horizontal="centerContinuous"/>
    </xf>
    <xf numFmtId="190" fontId="39" fillId="28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220" fontId="68" fillId="0" borderId="0"/>
    <xf numFmtId="0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0" fillId="0" borderId="0">
      <alignment vertical="center"/>
    </xf>
    <xf numFmtId="190" fontId="91" fillId="0" borderId="0" applyNumberFormat="0" applyFill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199" fontId="0" fillId="0" borderId="0">
      <alignment vertical="center"/>
    </xf>
    <xf numFmtId="190" fontId="39" fillId="9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37" fontId="63" fillId="0" borderId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0" borderId="0"/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97" fillId="0" borderId="0"/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190" fontId="8" fillId="0" borderId="0"/>
    <xf numFmtId="183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0" fillId="0" borderId="0">
      <alignment vertical="center"/>
    </xf>
    <xf numFmtId="183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90" fontId="39" fillId="9" borderId="0" applyNumberFormat="0" applyBorder="0" applyAlignment="0" applyProtection="0">
      <alignment vertical="center"/>
    </xf>
    <xf numFmtId="183" fontId="8" fillId="0" borderId="0"/>
    <xf numFmtId="183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0" fontId="82" fillId="0" borderId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82" fillId="0" borderId="0"/>
    <xf numFmtId="190" fontId="39" fillId="25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79" fillId="0" borderId="0"/>
    <xf numFmtId="190" fontId="39" fillId="25" borderId="0" applyNumberFormat="0" applyBorder="0" applyAlignment="0" applyProtection="0">
      <alignment vertical="center"/>
    </xf>
    <xf numFmtId="0" fontId="82" fillId="0" borderId="0"/>
    <xf numFmtId="190" fontId="39" fillId="25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25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0" fontId="0" fillId="6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0" fillId="6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0" fillId="60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8" fillId="0" borderId="0">
      <alignment vertical="top"/>
    </xf>
    <xf numFmtId="183" fontId="54" fillId="2" borderId="22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25" borderId="0" applyNumberFormat="0" applyBorder="0" applyAlignment="0" applyProtection="0">
      <alignment vertical="center"/>
    </xf>
    <xf numFmtId="0" fontId="47" fillId="0" borderId="7">
      <alignment horizontal="left" vertical="center"/>
    </xf>
    <xf numFmtId="0" fontId="39" fillId="25" borderId="0" applyNumberFormat="0" applyBorder="0" applyAlignment="0" applyProtection="0">
      <alignment vertical="center"/>
    </xf>
    <xf numFmtId="0" fontId="47" fillId="0" borderId="7">
      <alignment horizontal="left"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100" fillId="0" borderId="0" applyFont="0" applyFill="0" applyBorder="0" applyAlignment="0" applyProtection="0"/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81" fillId="0" borderId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1" fontId="39" fillId="25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25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25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0" borderId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0" fontId="39" fillId="0" borderId="0">
      <alignment vertical="center"/>
    </xf>
    <xf numFmtId="190" fontId="39" fillId="25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5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25" borderId="0" applyNumberFormat="0" applyBorder="0" applyAlignment="0" applyProtection="0">
      <alignment vertical="center"/>
    </xf>
    <xf numFmtId="183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25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/>
    <xf numFmtId="19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0" fontId="82" fillId="0" borderId="0"/>
    <xf numFmtId="190" fontId="39" fillId="11" borderId="0" applyNumberFormat="0" applyBorder="0" applyAlignment="0" applyProtection="0">
      <alignment vertical="center"/>
    </xf>
    <xf numFmtId="183" fontId="82" fillId="0" borderId="0"/>
    <xf numFmtId="190" fontId="39" fillId="11" borderId="0" applyNumberFormat="0" applyBorder="0" applyAlignment="0" applyProtection="0">
      <alignment vertical="center"/>
    </xf>
    <xf numFmtId="199" fontId="82" fillId="0" borderId="0"/>
    <xf numFmtId="190" fontId="39" fillId="11" borderId="0" applyNumberFormat="0" applyBorder="0" applyAlignment="0" applyProtection="0">
      <alignment vertical="center"/>
    </xf>
    <xf numFmtId="183" fontId="82" fillId="0" borderId="0"/>
    <xf numFmtId="190" fontId="39" fillId="11" borderId="0" applyNumberFormat="0" applyBorder="0" applyAlignment="0" applyProtection="0">
      <alignment vertical="center"/>
    </xf>
    <xf numFmtId="0" fontId="82" fillId="0" borderId="0"/>
    <xf numFmtId="190" fontId="39" fillId="11" borderId="0" applyNumberFormat="0" applyBorder="0" applyAlignment="0" applyProtection="0">
      <alignment vertical="center"/>
    </xf>
    <xf numFmtId="183" fontId="82" fillId="0" borderId="0"/>
    <xf numFmtId="190" fontId="39" fillId="11" borderId="0" applyNumberFormat="0" applyBorder="0" applyAlignment="0" applyProtection="0">
      <alignment vertical="center"/>
    </xf>
    <xf numFmtId="0" fontId="82" fillId="0" borderId="0"/>
    <xf numFmtId="0" fontId="39" fillId="11" borderId="0" applyNumberFormat="0" applyBorder="0" applyAlignment="0" applyProtection="0">
      <alignment vertical="center"/>
    </xf>
    <xf numFmtId="0" fontId="82" fillId="0" borderId="0"/>
    <xf numFmtId="0" fontId="39" fillId="11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11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98" fillId="0" borderId="37" applyNumberFormat="0" applyFill="0" applyProtection="0">
      <alignment horizontal="centerContinuous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1" fontId="85" fillId="0" borderId="28" applyNumberFormat="0" applyFill="0" applyProtection="0">
      <alignment horizont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0" fontId="0" fillId="38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0" fontId="0" fillId="3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0" fillId="38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1" fontId="8" fillId="0" borderId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82" fillId="0" borderId="0"/>
    <xf numFmtId="190" fontId="39" fillId="11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>
      <alignment vertical="top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1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190" fontId="82" fillId="0" borderId="0"/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1" fontId="39" fillId="11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39" fillId="11" borderId="0" applyNumberFormat="0" applyBorder="0" applyAlignment="0" applyProtection="0">
      <alignment vertical="center"/>
    </xf>
    <xf numFmtId="183" fontId="39" fillId="11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7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183" fontId="4" fillId="0" borderId="0"/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39" fillId="37" borderId="0" applyNumberFormat="0" applyBorder="0" applyAlignment="0" applyProtection="0">
      <alignment vertical="center"/>
    </xf>
    <xf numFmtId="0" fontId="8" fillId="0" borderId="0">
      <alignment vertical="top"/>
    </xf>
    <xf numFmtId="0" fontId="54" fillId="2" borderId="22" applyNumberFormat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190" fontId="8" fillId="0" borderId="0"/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8" fillId="0" borderId="0"/>
    <xf numFmtId="190" fontId="39" fillId="3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8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8" fillId="0" borderId="0">
      <alignment vertical="top"/>
    </xf>
    <xf numFmtId="0" fontId="39" fillId="3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39" fillId="37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0" fillId="55" borderId="0" applyNumberFormat="0" applyBorder="0" applyAlignment="0" applyProtection="0">
      <alignment vertical="center"/>
    </xf>
    <xf numFmtId="183" fontId="8" fillId="0" borderId="0">
      <alignment vertical="top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9" fontId="22" fillId="0" borderId="0">
      <alignment vertical="top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0" fontId="39" fillId="37" borderId="0" applyNumberFormat="0" applyBorder="0" applyAlignment="0" applyProtection="0">
      <alignment vertical="center"/>
    </xf>
    <xf numFmtId="183" fontId="8" fillId="0" borderId="0"/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0" fillId="0" borderId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190" fontId="39" fillId="3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0" fillId="0" borderId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>
      <alignment vertical="top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8" fillId="0" borderId="0"/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8" fillId="0" borderId="0"/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101" fillId="0" borderId="0" applyNumberFormat="0" applyFont="0" applyFill="0" applyBorder="0" applyProtection="0">
      <alignment horizontal="center" vertical="center" wrapText="1"/>
    </xf>
    <xf numFmtId="190" fontId="40" fillId="2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1" fontId="39" fillId="37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39" fillId="37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39" fillId="37" borderId="0" applyNumberFormat="0" applyBorder="0" applyAlignment="0" applyProtection="0">
      <alignment vertical="center"/>
    </xf>
    <xf numFmtId="183" fontId="3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4" fontId="102" fillId="0" borderId="0">
      <alignment horizontal="right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9" fontId="8" fillId="0" borderId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82" fillId="0" borderId="0"/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0" fillId="0" borderId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0" fontId="89" fillId="13" borderId="2" applyNumberFormat="0" applyBorder="0" applyAlignment="0" applyProtection="0"/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31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3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1" borderId="0" applyNumberFormat="0" applyBorder="0" applyAlignment="0" applyProtection="0">
      <alignment vertical="center"/>
    </xf>
    <xf numFmtId="0" fontId="0" fillId="0" borderId="0">
      <alignment vertical="center"/>
    </xf>
    <xf numFmtId="183" fontId="40" fillId="31" borderId="0" applyNumberFormat="0" applyBorder="0" applyAlignment="0" applyProtection="0">
      <alignment vertical="center"/>
    </xf>
    <xf numFmtId="191" fontId="0" fillId="0" borderId="0">
      <alignment vertical="center"/>
    </xf>
    <xf numFmtId="0" fontId="40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8" fillId="0" borderId="0">
      <alignment vertical="top"/>
    </xf>
    <xf numFmtId="190" fontId="40" fillId="31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40" fillId="31" borderId="0" applyNumberFormat="0" applyBorder="0" applyAlignment="0" applyProtection="0">
      <alignment vertical="center"/>
    </xf>
    <xf numFmtId="183" fontId="40" fillId="3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41" fontId="12" fillId="0" borderId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71" fillId="0" borderId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71" fillId="0" borderId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1" fontId="71" fillId="0" borderId="0"/>
    <xf numFmtId="0" fontId="40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9" fontId="68" fillId="0" borderId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82" fillId="0" borderId="0"/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39" fillId="0" borderId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5" fontId="8" fillId="0" borderId="0" applyFill="0" applyBorder="0" applyAlignment="0"/>
    <xf numFmtId="190" fontId="40" fillId="28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8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40" fontId="100" fillId="0" borderId="0" applyFont="0" applyFill="0" applyBorder="0" applyAlignment="0" applyProtection="0"/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8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1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90" fontId="40" fillId="28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28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8" fillId="0" borderId="0">
      <alignment vertical="top"/>
    </xf>
    <xf numFmtId="0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207" fontId="96" fillId="0" borderId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82" fillId="0" borderId="0"/>
    <xf numFmtId="191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221" fontId="8" fillId="0" borderId="0">
      <alignment vertical="top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8" fillId="0" borderId="0">
      <alignment vertical="top"/>
    </xf>
    <xf numFmtId="183" fontId="40" fillId="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9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103" fillId="0" borderId="0" applyNumberFormat="0" applyFill="0" applyBorder="0" applyAlignment="0" applyProtection="0">
      <alignment vertical="top"/>
      <protection locked="0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58" fillId="0" borderId="0" applyNumberFormat="0" applyFill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8" fillId="0" borderId="0"/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9" fontId="82" fillId="0" borderId="0"/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8" fillId="0" borderId="0"/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8" fillId="0" borderId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0" fillId="0" borderId="0">
      <alignment vertical="center"/>
    </xf>
    <xf numFmtId="0" fontId="40" fillId="9" borderId="0" applyNumberFormat="0" applyBorder="0" applyAlignment="0" applyProtection="0">
      <alignment vertical="center"/>
    </xf>
    <xf numFmtId="191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19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9" borderId="0" applyNumberFormat="0" applyBorder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/>
    <xf numFmtId="0" fontId="40" fillId="27" borderId="0" applyNumberFormat="0" applyBorder="0" applyAlignment="0" applyProtection="0">
      <alignment vertical="center"/>
    </xf>
    <xf numFmtId="190" fontId="8" fillId="0" borderId="0"/>
    <xf numFmtId="0" fontId="40" fillId="27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/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1" fontId="40" fillId="27" borderId="0" applyNumberFormat="0" applyBorder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83" fontId="8" fillId="0" borderId="0"/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8" fillId="0" borderId="0"/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82" fillId="0" borderId="0"/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82" fillId="0" borderId="0"/>
    <xf numFmtId="190" fontId="40" fillId="2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8" fillId="0" borderId="0">
      <alignment vertical="center"/>
    </xf>
    <xf numFmtId="190" fontId="40" fillId="27" borderId="0" applyNumberFormat="0" applyBorder="0" applyAlignment="0" applyProtection="0">
      <alignment vertical="center"/>
    </xf>
    <xf numFmtId="0" fontId="8" fillId="0" borderId="0">
      <alignment vertical="center"/>
    </xf>
    <xf numFmtId="190" fontId="40" fillId="27" borderId="0" applyNumberFormat="0" applyBorder="0" applyAlignment="0" applyProtection="0">
      <alignment vertical="center"/>
    </xf>
    <xf numFmtId="0" fontId="8" fillId="0" borderId="0">
      <alignment vertical="center"/>
    </xf>
    <xf numFmtId="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22" fillId="0" borderId="0">
      <alignment vertical="top"/>
    </xf>
    <xf numFmtId="0" fontId="40" fillId="2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79" fillId="0" borderId="0"/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2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79" fontId="46" fillId="0" borderId="19" applyAlignment="0" applyProtection="0"/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1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1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80" fontId="8" fillId="0" borderId="0" applyFill="0" applyBorder="0" applyAlignment="0"/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40" fillId="42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6" fillId="0" borderId="0" applyNumberFormat="0" applyFill="0" applyBorder="0" applyAlignment="0" applyProtection="0"/>
    <xf numFmtId="183" fontId="51" fillId="2" borderId="21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8" fillId="0" borderId="0">
      <alignment vertical="top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7" fillId="0" borderId="33" applyNumberFormat="0" applyAlignment="0" applyProtection="0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40" fillId="43" borderId="0" applyNumberFormat="0" applyBorder="0" applyAlignment="0" applyProtection="0">
      <alignment vertical="center"/>
    </xf>
    <xf numFmtId="0" fontId="8" fillId="0" borderId="0">
      <alignment vertical="top"/>
    </xf>
    <xf numFmtId="190" fontId="40" fillId="43" borderId="0" applyNumberFormat="0" applyBorder="0" applyAlignment="0" applyProtection="0">
      <alignment vertical="center"/>
    </xf>
    <xf numFmtId="183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0" fontId="8" fillId="0" borderId="0">
      <alignment vertical="top"/>
    </xf>
    <xf numFmtId="183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183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8" fillId="0" borderId="0"/>
    <xf numFmtId="190" fontId="40" fillId="43" borderId="0" applyNumberFormat="0" applyBorder="0" applyAlignment="0" applyProtection="0">
      <alignment vertical="center"/>
    </xf>
    <xf numFmtId="0" fontId="8" fillId="0" borderId="0"/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82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2" fillId="0" borderId="0"/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8" fillId="0" borderId="0"/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40" fillId="43" borderId="0" applyNumberFormat="0" applyBorder="0" applyAlignment="0" applyProtection="0">
      <alignment vertical="center"/>
    </xf>
    <xf numFmtId="0" fontId="8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2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8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40" fillId="43" borderId="0" applyNumberFormat="0" applyBorder="0" applyAlignment="0" applyProtection="0">
      <alignment vertical="center"/>
    </xf>
    <xf numFmtId="0" fontId="8" fillId="0" borderId="0">
      <alignment vertical="top"/>
    </xf>
    <xf numFmtId="190" fontId="40" fillId="43" borderId="0" applyNumberFormat="0" applyBorder="0" applyAlignment="0" applyProtection="0">
      <alignment vertical="center"/>
    </xf>
    <xf numFmtId="183" fontId="8" fillId="0" borderId="0"/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83" fontId="8" fillId="0" borderId="0">
      <alignment vertical="top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40" fillId="43" borderId="0" applyNumberFormat="0" applyBorder="0" applyAlignment="0" applyProtection="0">
      <alignment vertical="center"/>
    </xf>
    <xf numFmtId="183" fontId="8" fillId="0" borderId="0"/>
    <xf numFmtId="190" fontId="40" fillId="43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83" fontId="82" fillId="0" borderId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183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0" borderId="0"/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190" fontId="40" fillId="4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92" fillId="0" borderId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221" fontId="8" fillId="0" borderId="0">
      <alignment vertical="top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0" fillId="0" borderId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90" fontId="8" fillId="0" borderId="0"/>
    <xf numFmtId="0" fontId="40" fillId="43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1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90" fontId="40" fillId="43" borderId="0" applyNumberFormat="0" applyBorder="0" applyAlignment="0" applyProtection="0">
      <alignment vertical="center"/>
    </xf>
    <xf numFmtId="183" fontId="40" fillId="4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94" fillId="0" borderId="2" applyNumberFormat="0" applyFill="0" applyProtection="0">
      <alignment horizontal="left"/>
    </xf>
    <xf numFmtId="190" fontId="51" fillId="2" borderId="21" applyNumberFormat="0" applyAlignment="0" applyProtection="0">
      <alignment vertical="center"/>
    </xf>
    <xf numFmtId="183" fontId="104" fillId="0" borderId="0">
      <alignment horizontal="center" wrapText="1"/>
      <protection locked="0"/>
    </xf>
    <xf numFmtId="3" fontId="105" fillId="0" borderId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83" fontId="69" fillId="12" borderId="21" applyNumberFormat="0" applyAlignment="0" applyProtection="0">
      <alignment vertical="center"/>
    </xf>
    <xf numFmtId="179" fontId="46" fillId="0" borderId="19" applyAlignment="0" applyProtection="0"/>
    <xf numFmtId="190" fontId="8" fillId="0" borderId="0" applyNumberFormat="0" applyFont="0" applyFill="0" applyBorder="0" applyAlignment="0" applyProtection="0"/>
    <xf numFmtId="179" fontId="46" fillId="0" borderId="19" applyAlignment="0" applyProtection="0"/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90" fontId="8" fillId="0" borderId="0" applyNumberFormat="0" applyFont="0" applyFill="0" applyBorder="0" applyAlignment="0" applyProtection="0"/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79" fontId="46" fillId="0" borderId="19" applyAlignment="0" applyProtection="0"/>
    <xf numFmtId="183" fontId="55" fillId="32" borderId="0" applyNumberFormat="0" applyBorder="0" applyAlignment="0" applyProtection="0">
      <alignment vertical="center"/>
    </xf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90" fontId="51" fillId="2" borderId="21" applyNumberFormat="0" applyAlignment="0" applyProtection="0">
      <alignment vertical="center"/>
    </xf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79" fontId="46" fillId="0" borderId="19" applyAlignment="0" applyProtection="0"/>
    <xf numFmtId="183" fontId="51" fillId="2" borderId="21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79" fontId="46" fillId="0" borderId="19" applyAlignment="0" applyProtection="0"/>
    <xf numFmtId="191" fontId="67" fillId="0" borderId="0" applyNumberFormat="0" applyFill="0" applyBorder="0" applyAlignment="0" applyProtection="0">
      <alignment vertical="center"/>
    </xf>
    <xf numFmtId="179" fontId="46" fillId="0" borderId="19" applyAlignment="0" applyProtection="0"/>
    <xf numFmtId="190" fontId="67" fillId="0" borderId="0" applyNumberFormat="0" applyFill="0" applyBorder="0" applyAlignment="0" applyProtection="0">
      <alignment vertical="center"/>
    </xf>
    <xf numFmtId="179" fontId="46" fillId="0" borderId="19" applyAlignment="0" applyProtection="0"/>
    <xf numFmtId="190" fontId="67" fillId="0" borderId="0" applyNumberFormat="0" applyFill="0" applyBorder="0" applyAlignment="0" applyProtection="0">
      <alignment vertical="center"/>
    </xf>
    <xf numFmtId="179" fontId="46" fillId="0" borderId="19" applyAlignment="0" applyProtection="0"/>
    <xf numFmtId="0" fontId="67" fillId="0" borderId="0" applyNumberFormat="0" applyFill="0" applyBorder="0" applyAlignment="0" applyProtection="0">
      <alignment vertical="center"/>
    </xf>
    <xf numFmtId="179" fontId="46" fillId="0" borderId="19" applyAlignment="0" applyProtection="0"/>
    <xf numFmtId="195" fontId="8" fillId="0" borderId="0" applyFill="0" applyBorder="0" applyAlignment="0"/>
    <xf numFmtId="190" fontId="40" fillId="63" borderId="0" applyNumberFormat="0" applyBorder="0" applyAlignment="0" applyProtection="0">
      <alignment vertical="center"/>
    </xf>
    <xf numFmtId="223" fontId="82" fillId="0" borderId="0" applyFill="0" applyBorder="0" applyAlignment="0"/>
    <xf numFmtId="187" fontId="8" fillId="0" borderId="0" applyFill="0" applyBorder="0" applyAlignment="0"/>
    <xf numFmtId="183" fontId="47" fillId="0" borderId="7">
      <alignment horizontal="left" vertical="center"/>
    </xf>
    <xf numFmtId="177" fontId="8" fillId="0" borderId="0" applyFill="0" applyBorder="0" applyAlignment="0"/>
    <xf numFmtId="196" fontId="82" fillId="0" borderId="0" applyFill="0" applyBorder="0" applyAlignment="0"/>
    <xf numFmtId="190" fontId="67" fillId="0" borderId="35" applyNumberFormat="0" applyFill="0" applyAlignment="0" applyProtection="0">
      <alignment vertical="center"/>
    </xf>
    <xf numFmtId="223" fontId="82" fillId="0" borderId="0" applyFill="0" applyBorder="0" applyAlignment="0"/>
    <xf numFmtId="183" fontId="86" fillId="0" borderId="1" applyNumberFormat="0" applyFill="0" applyProtection="0">
      <alignment horizontal="center"/>
    </xf>
    <xf numFmtId="183" fontId="47" fillId="0" borderId="7">
      <alignment horizontal="left" vertical="center"/>
    </xf>
    <xf numFmtId="183" fontId="54" fillId="2" borderId="22" applyNumberFormat="0" applyAlignment="0" applyProtection="0">
      <alignment vertical="center"/>
    </xf>
    <xf numFmtId="183" fontId="46" fillId="0" borderId="0" applyNumberFormat="0" applyFill="0" applyBorder="0" applyAlignment="0" applyProtection="0"/>
    <xf numFmtId="43" fontId="68" fillId="0" borderId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220" fontId="68" fillId="0" borderId="0"/>
    <xf numFmtId="220" fontId="68" fillId="0" borderId="0"/>
    <xf numFmtId="0" fontId="56" fillId="7" borderId="0" applyNumberFormat="0" applyBorder="0" applyAlignment="0" applyProtection="0">
      <alignment vertical="center"/>
    </xf>
    <xf numFmtId="220" fontId="68" fillId="0" borderId="0"/>
    <xf numFmtId="0" fontId="56" fillId="7" borderId="0" applyNumberFormat="0" applyBorder="0" applyAlignment="0" applyProtection="0">
      <alignment vertical="center"/>
    </xf>
    <xf numFmtId="220" fontId="68" fillId="0" borderId="0"/>
    <xf numFmtId="0" fontId="56" fillId="7" borderId="0" applyNumberFormat="0" applyBorder="0" applyAlignment="0" applyProtection="0">
      <alignment vertical="center"/>
    </xf>
    <xf numFmtId="220" fontId="68" fillId="0" borderId="0"/>
    <xf numFmtId="191" fontId="40" fillId="34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220" fontId="68" fillId="0" borderId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220" fontId="68" fillId="0" borderId="0"/>
    <xf numFmtId="0" fontId="40" fillId="34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41" fontId="68" fillId="0" borderId="0" applyFont="0" applyFill="0" applyBorder="0" applyAlignment="0" applyProtection="0"/>
    <xf numFmtId="177" fontId="8" fillId="0" borderId="0" applyFont="0" applyFill="0" applyBorder="0" applyAlignment="0" applyProtection="0"/>
    <xf numFmtId="215" fontId="12" fillId="0" borderId="0"/>
    <xf numFmtId="194" fontId="63" fillId="0" borderId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40" fontId="82" fillId="0" borderId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6" fontId="12" fillId="0" borderId="0" applyFill="0" applyBorder="0" applyProtection="0"/>
    <xf numFmtId="190" fontId="8" fillId="0" borderId="0" applyNumberFormat="0" applyFont="0" applyFill="0" applyBorder="0" applyAlignment="0" applyProtection="0"/>
    <xf numFmtId="210" fontId="68" fillId="0" borderId="0" applyFont="0" applyFill="0" applyBorder="0" applyAlignment="0" applyProtection="0"/>
    <xf numFmtId="191" fontId="61" fillId="0" borderId="25" applyNumberFormat="0" applyFill="0" applyAlignment="0" applyProtection="0">
      <alignment vertical="center"/>
    </xf>
    <xf numFmtId="176" fontId="68" fillId="0" borderId="0" applyFont="0" applyFill="0" applyBorder="0" applyAlignment="0" applyProtection="0"/>
    <xf numFmtId="179" fontId="63" fillId="0" borderId="0" applyFont="0" applyFill="0" applyBorder="0" applyAlignment="0" applyProtection="0"/>
    <xf numFmtId="214" fontId="63" fillId="0" borderId="0" applyFont="0" applyFill="0" applyBorder="0" applyAlignment="0" applyProtection="0"/>
    <xf numFmtId="201" fontId="8" fillId="0" borderId="0" applyFont="0" applyFill="0" applyBorder="0" applyAlignment="0" applyProtection="0"/>
    <xf numFmtId="224" fontId="12" fillId="0" borderId="0"/>
    <xf numFmtId="15" fontId="82" fillId="0" borderId="0"/>
    <xf numFmtId="15" fontId="82" fillId="0" borderId="0"/>
    <xf numFmtId="209" fontId="12" fillId="0" borderId="0" applyFill="0" applyBorder="0" applyProtection="0"/>
    <xf numFmtId="41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183" fontId="57" fillId="26" borderId="0" applyNumberFormat="0" applyBorder="0" applyAlignment="0" applyProtection="0">
      <alignment vertical="center"/>
    </xf>
    <xf numFmtId="193" fontId="12" fillId="0" borderId="0"/>
    <xf numFmtId="190" fontId="51" fillId="2" borderId="21" applyNumberFormat="0" applyAlignment="0" applyProtection="0">
      <alignment vertical="center"/>
    </xf>
    <xf numFmtId="183" fontId="11" fillId="0" borderId="0">
      <alignment horizontal="left"/>
    </xf>
    <xf numFmtId="183" fontId="89" fillId="3" borderId="2"/>
    <xf numFmtId="190" fontId="57" fillId="26" borderId="0" applyNumberFormat="0" applyBorder="0" applyAlignment="0" applyProtection="0">
      <alignment vertical="center"/>
    </xf>
    <xf numFmtId="183" fontId="89" fillId="3" borderId="2"/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0" fillId="0" borderId="0" applyNumberFormat="0" applyFill="0" applyBorder="0" applyAlignment="0" applyProtection="0">
      <alignment vertical="top"/>
      <protection locked="0"/>
    </xf>
    <xf numFmtId="38" fontId="89" fillId="2" borderId="0" applyNumberFormat="0" applyBorder="0" applyAlignment="0" applyProtection="0"/>
    <xf numFmtId="0" fontId="47" fillId="0" borderId="33" applyNumberFormat="0" applyAlignment="0" applyProtection="0">
      <alignment horizontal="left" vertical="center"/>
    </xf>
    <xf numFmtId="183" fontId="47" fillId="0" borderId="33" applyNumberFormat="0" applyAlignment="0" applyProtection="0">
      <alignment horizontal="left" vertical="center"/>
    </xf>
    <xf numFmtId="191" fontId="47" fillId="0" borderId="33" applyNumberFormat="0" applyAlignment="0" applyProtection="0">
      <alignment horizontal="left" vertical="center"/>
    </xf>
    <xf numFmtId="183" fontId="8" fillId="13" borderId="24" applyNumberFormat="0" applyFont="0" applyAlignment="0" applyProtection="0">
      <alignment vertical="center"/>
    </xf>
    <xf numFmtId="190" fontId="47" fillId="0" borderId="33" applyNumberFormat="0" applyAlignment="0" applyProtection="0">
      <alignment horizontal="left"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7" fillId="0" borderId="33" applyNumberFormat="0" applyAlignment="0" applyProtection="0">
      <alignment horizontal="left" vertical="center"/>
    </xf>
    <xf numFmtId="183" fontId="47" fillId="0" borderId="33" applyNumberFormat="0" applyAlignment="0" applyProtection="0">
      <alignment horizontal="left" vertical="center"/>
    </xf>
    <xf numFmtId="183" fontId="47" fillId="0" borderId="33" applyNumberFormat="0" applyAlignment="0" applyProtection="0">
      <alignment horizontal="left" vertical="center"/>
    </xf>
    <xf numFmtId="183" fontId="47" fillId="0" borderId="33" applyNumberFormat="0" applyAlignment="0" applyProtection="0">
      <alignment horizontal="left" vertical="center"/>
    </xf>
    <xf numFmtId="0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7" fillId="0" borderId="7">
      <alignment horizontal="left" vertical="center"/>
    </xf>
    <xf numFmtId="183" fontId="47" fillId="0" borderId="7">
      <alignment horizontal="left" vertical="center"/>
    </xf>
    <xf numFmtId="0" fontId="47" fillId="0" borderId="7">
      <alignment horizontal="left" vertical="center"/>
    </xf>
    <xf numFmtId="0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0" fillId="42" borderId="0" applyNumberFormat="0" applyBorder="0" applyAlignment="0" applyProtection="0">
      <alignment vertical="center"/>
    </xf>
    <xf numFmtId="0" fontId="47" fillId="0" borderId="7">
      <alignment horizontal="left" vertical="center"/>
    </xf>
    <xf numFmtId="0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8" fillId="0" borderId="0">
      <alignment vertical="top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0" fillId="0" borderId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3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8" fillId="0" borderId="0">
      <alignment vertical="top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1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57" fillId="26" borderId="0" applyNumberFormat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83" fontId="47" fillId="0" borderId="7">
      <alignment horizontal="left" vertical="center"/>
    </xf>
    <xf numFmtId="19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9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78" fillId="0" borderId="34" applyNumberFormat="0" applyFill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9" fontId="8" fillId="0" borderId="0">
      <alignment vertical="top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8" fillId="0" borderId="0">
      <alignment vertical="top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43" fontId="0" fillId="0" borderId="0" applyFont="0" applyFill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2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27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0" fillId="0" borderId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57" fillId="26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40" fillId="3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0" fontId="40" fillId="3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0" fontId="40" fillId="34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9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90" fontId="8" fillId="0" borderId="0" applyNumberFormat="0" applyFont="0" applyFill="0" applyBorder="0" applyAlignment="0" applyProtection="0"/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40" fillId="42" borderId="0" applyNumberFormat="0" applyBorder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51" fillId="2" borderId="21" applyNumberFormat="0" applyAlignment="0" applyProtection="0">
      <alignment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183" fontId="47" fillId="0" borderId="7">
      <alignment horizontal="left" vertical="center"/>
    </xf>
    <xf numFmtId="0" fontId="91" fillId="0" borderId="0" applyNumberFormat="0" applyFill="0" applyBorder="0" applyAlignment="0" applyProtection="0">
      <alignment vertical="center"/>
    </xf>
    <xf numFmtId="183" fontId="47" fillId="0" borderId="7">
      <alignment horizontal="left" vertical="center"/>
    </xf>
    <xf numFmtId="183" fontId="91" fillId="0" borderId="0" applyNumberFormat="0" applyFill="0" applyBorder="0" applyAlignment="0" applyProtection="0">
      <alignment vertical="center"/>
    </xf>
    <xf numFmtId="183" fontId="71" fillId="0" borderId="0"/>
    <xf numFmtId="14" fontId="106" fillId="30" borderId="38">
      <alignment horizontal="center" vertical="center" wrapText="1"/>
    </xf>
    <xf numFmtId="183" fontId="107" fillId="0" borderId="0" applyNumberFormat="0" applyFill="0" applyBorder="0" applyAlignment="0" applyProtection="0">
      <alignment vertical="top"/>
      <protection locked="0"/>
    </xf>
    <xf numFmtId="183" fontId="40" fillId="4" borderId="0" applyNumberFormat="0" applyBorder="0" applyAlignment="0" applyProtection="0">
      <alignment vertical="center"/>
    </xf>
    <xf numFmtId="10" fontId="89" fillId="13" borderId="2" applyNumberFormat="0" applyBorder="0" applyAlignment="0" applyProtection="0"/>
    <xf numFmtId="183" fontId="12" fillId="0" borderId="0" applyNumberFormat="0" applyFont="0" applyFill="0" applyBorder="0" applyProtection="0">
      <alignment horizontal="left" vertical="center"/>
    </xf>
    <xf numFmtId="0" fontId="56" fillId="7" borderId="0" applyNumberFormat="0" applyBorder="0" applyAlignment="0" applyProtection="0">
      <alignment vertical="center"/>
    </xf>
    <xf numFmtId="41" fontId="68" fillId="0" borderId="0" applyFont="0" applyFill="0" applyBorder="0" applyAlignment="0" applyProtection="0"/>
    <xf numFmtId="0" fontId="55" fillId="32" borderId="0" applyNumberFormat="0" applyBorder="0" applyAlignment="0" applyProtection="0">
      <alignment vertical="center"/>
    </xf>
    <xf numFmtId="43" fontId="68" fillId="0" borderId="0" applyFont="0" applyFill="0" applyBorder="0" applyAlignment="0" applyProtection="0"/>
    <xf numFmtId="222" fontId="8" fillId="0" borderId="0" applyFont="0" applyFill="0" applyBorder="0" applyAlignment="0" applyProtection="0"/>
    <xf numFmtId="219" fontId="8" fillId="0" borderId="0" applyFont="0" applyFill="0" applyBorder="0" applyAlignment="0" applyProtection="0"/>
    <xf numFmtId="183" fontId="39" fillId="0" borderId="0">
      <alignment vertical="center"/>
    </xf>
    <xf numFmtId="206" fontId="68" fillId="0" borderId="0" applyFont="0" applyFill="0" applyBorder="0" applyAlignment="0" applyProtection="0"/>
    <xf numFmtId="184" fontId="68" fillId="0" borderId="0" applyFont="0" applyFill="0" applyBorder="0" applyAlignment="0" applyProtection="0"/>
    <xf numFmtId="212" fontId="68" fillId="0" borderId="0" applyFont="0" applyFill="0" applyBorder="0" applyAlignment="0" applyProtection="0"/>
    <xf numFmtId="0" fontId="69" fillId="12" borderId="21" applyNumberFormat="0" applyAlignment="0" applyProtection="0">
      <alignment vertical="center"/>
    </xf>
    <xf numFmtId="218" fontId="8" fillId="0" borderId="0" applyFont="0" applyFill="0" applyBorder="0" applyAlignment="0" applyProtection="0"/>
    <xf numFmtId="0" fontId="12" fillId="0" borderId="0"/>
    <xf numFmtId="0" fontId="40" fillId="63" borderId="0" applyNumberFormat="0" applyBorder="0" applyAlignment="0" applyProtection="0">
      <alignment vertical="center"/>
    </xf>
    <xf numFmtId="183" fontId="12" fillId="0" borderId="0"/>
    <xf numFmtId="191" fontId="12" fillId="0" borderId="0"/>
    <xf numFmtId="0" fontId="12" fillId="0" borderId="0"/>
    <xf numFmtId="183" fontId="12" fillId="0" borderId="0"/>
    <xf numFmtId="190" fontId="12" fillId="0" borderId="0"/>
    <xf numFmtId="0" fontId="8" fillId="13" borderId="24" applyNumberFormat="0" applyFont="0" applyAlignment="0" applyProtection="0">
      <alignment vertical="center"/>
    </xf>
    <xf numFmtId="183" fontId="12" fillId="0" borderId="0"/>
    <xf numFmtId="183" fontId="108" fillId="0" borderId="0"/>
    <xf numFmtId="0" fontId="68" fillId="0" borderId="0"/>
    <xf numFmtId="183" fontId="8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2" fillId="0" borderId="0"/>
    <xf numFmtId="183" fontId="109" fillId="0" borderId="0"/>
    <xf numFmtId="225" fontId="68" fillId="0" borderId="0" applyFont="0" applyFill="0" applyBorder="0" applyAlignment="0" applyProtection="0"/>
    <xf numFmtId="10" fontId="68" fillId="0" borderId="0" applyFont="0" applyFill="0" applyBorder="0" applyAlignment="0" applyProtection="0"/>
    <xf numFmtId="40" fontId="94" fillId="0" borderId="2" applyFill="0" applyProtection="0">
      <alignment horizontal="right"/>
    </xf>
    <xf numFmtId="40" fontId="94" fillId="0" borderId="2" applyFill="0" applyProtection="0">
      <alignment horizontal="right"/>
    </xf>
    <xf numFmtId="183" fontId="89" fillId="2" borderId="2"/>
    <xf numFmtId="0" fontId="71" fillId="0" borderId="0"/>
    <xf numFmtId="183" fontId="89" fillId="2" borderId="2"/>
    <xf numFmtId="0" fontId="22" fillId="0" borderId="0">
      <alignment vertical="top"/>
    </xf>
    <xf numFmtId="4" fontId="11" fillId="0" borderId="0">
      <alignment horizontal="right"/>
    </xf>
    <xf numFmtId="3" fontId="110" fillId="0" borderId="0"/>
    <xf numFmtId="183" fontId="22" fillId="6" borderId="0">
      <alignment horizontal="left" vertical="top"/>
    </xf>
    <xf numFmtId="183" fontId="111" fillId="6" borderId="0">
      <alignment horizontal="center" vertical="center"/>
    </xf>
    <xf numFmtId="183" fontId="26" fillId="6" borderId="0">
      <alignment horizontal="left" vertical="center"/>
    </xf>
    <xf numFmtId="183" fontId="112" fillId="6" borderId="0">
      <alignment horizontal="center" vertical="center"/>
    </xf>
    <xf numFmtId="183" fontId="112" fillId="6" borderId="0">
      <alignment horizontal="left" vertical="center"/>
    </xf>
    <xf numFmtId="190" fontId="44" fillId="10" borderId="18" applyNumberFormat="0" applyAlignment="0" applyProtection="0">
      <alignment vertical="center"/>
    </xf>
    <xf numFmtId="183" fontId="112" fillId="6" borderId="0">
      <alignment horizontal="right" vertical="center"/>
    </xf>
    <xf numFmtId="183" fontId="24" fillId="6" borderId="0">
      <alignment horizontal="right" vertical="center"/>
    </xf>
    <xf numFmtId="183" fontId="113" fillId="0" borderId="0">
      <alignment horizontal="left"/>
    </xf>
    <xf numFmtId="190" fontId="57" fillId="26" borderId="0" applyNumberFormat="0" applyBorder="0" applyAlignment="0" applyProtection="0">
      <alignment vertical="center"/>
    </xf>
    <xf numFmtId="183" fontId="114" fillId="0" borderId="2">
      <alignment horizontal="center"/>
    </xf>
    <xf numFmtId="183" fontId="114" fillId="0" borderId="2">
      <alignment horizontal="center"/>
    </xf>
    <xf numFmtId="183" fontId="114" fillId="0" borderId="0">
      <alignment horizontal="center" vertical="center"/>
    </xf>
    <xf numFmtId="183" fontId="115" fillId="0" borderId="0" applyNumberFormat="0" applyFill="0">
      <alignment horizontal="left" vertical="center"/>
    </xf>
    <xf numFmtId="183" fontId="116" fillId="0" borderId="0" applyFill="0" applyBorder="0" applyProtection="0">
      <alignment horizontal="left" vertical="top"/>
    </xf>
    <xf numFmtId="183" fontId="10" fillId="0" borderId="0">
      <alignment horizontal="center"/>
    </xf>
    <xf numFmtId="183" fontId="117" fillId="0" borderId="0"/>
    <xf numFmtId="183" fontId="8" fillId="0" borderId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90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191" fontId="91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82" fillId="0" borderId="0" applyFont="0" applyFill="0" applyBorder="0" applyAlignment="0" applyProtection="0"/>
    <xf numFmtId="0" fontId="51" fillId="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2" fillId="0" borderId="0" applyFont="0" applyFill="0" applyBorder="0" applyAlignment="0" applyProtection="0"/>
    <xf numFmtId="183" fontId="51" fillId="2" borderId="21" applyNumberFormat="0" applyAlignment="0" applyProtection="0">
      <alignment vertical="center"/>
    </xf>
    <xf numFmtId="9" fontId="82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183" fontId="4" fillId="0" borderId="0"/>
    <xf numFmtId="0" fontId="22" fillId="0" borderId="0">
      <alignment vertical="top"/>
    </xf>
    <xf numFmtId="0" fontId="51" fillId="2" borderId="21" applyNumberFormat="0" applyAlignment="0" applyProtection="0">
      <alignment vertical="center"/>
    </xf>
    <xf numFmtId="9" fontId="82" fillId="0" borderId="0" applyFont="0" applyFill="0" applyBorder="0" applyAlignment="0" applyProtection="0"/>
    <xf numFmtId="199" fontId="0" fillId="0" borderId="0">
      <alignment vertical="center"/>
    </xf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183" fontId="4" fillId="0" borderId="0"/>
    <xf numFmtId="9" fontId="9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9" fontId="82" fillId="0" borderId="0" applyFont="0" applyFill="0" applyBorder="0" applyAlignment="0" applyProtection="0"/>
    <xf numFmtId="9" fontId="92" fillId="0" borderId="0" applyFont="0" applyFill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0" fontId="8" fillId="0" borderId="0"/>
    <xf numFmtId="9" fontId="9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9" fontId="82" fillId="0" borderId="0" applyFont="0" applyFill="0" applyBorder="0" applyAlignment="0" applyProtection="0"/>
    <xf numFmtId="9" fontId="92" fillId="0" borderId="0" applyFont="0" applyFill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9" fontId="82" fillId="0" borderId="0" applyFont="0" applyFill="0" applyBorder="0" applyAlignment="0" applyProtection="0"/>
    <xf numFmtId="9" fontId="92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39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3" fontId="69" fillId="12" borderId="21" applyNumberFormat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>
      <alignment vertical="center"/>
    </xf>
    <xf numFmtId="199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8" fillId="0" borderId="0" applyFont="0" applyFill="0" applyBorder="0" applyAlignment="0" applyProtection="0"/>
    <xf numFmtId="0" fontId="0" fillId="0" borderId="0">
      <alignment vertical="center"/>
    </xf>
    <xf numFmtId="9" fontId="8" fillId="0" borderId="0" applyFont="0" applyFill="0" applyBorder="0" applyAlignment="0" applyProtection="0"/>
    <xf numFmtId="9" fontId="39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top"/>
    </xf>
    <xf numFmtId="9" fontId="0" fillId="0" borderId="0" applyFont="0" applyFill="0" applyBorder="0" applyAlignment="0" applyProtection="0">
      <alignment vertical="center"/>
    </xf>
    <xf numFmtId="183" fontId="81" fillId="0" borderId="0" applyFont="0" applyFill="0" applyBorder="0" applyAlignment="0" applyProtection="0"/>
    <xf numFmtId="190" fontId="77" fillId="0" borderId="5" applyNumberFormat="0" applyFill="0" applyProtection="0">
      <alignment horizontal="center"/>
    </xf>
    <xf numFmtId="0" fontId="68" fillId="0" borderId="5" applyNumberFormat="0" applyFill="0" applyProtection="0">
      <alignment horizontal="right"/>
    </xf>
    <xf numFmtId="183" fontId="68" fillId="0" borderId="5" applyNumberFormat="0" applyFill="0" applyProtection="0">
      <alignment horizontal="right"/>
    </xf>
    <xf numFmtId="191" fontId="68" fillId="0" borderId="5" applyNumberFormat="0" applyFill="0" applyProtection="0">
      <alignment horizontal="right"/>
    </xf>
    <xf numFmtId="0" fontId="68" fillId="0" borderId="5" applyNumberFormat="0" applyFill="0" applyProtection="0">
      <alignment horizontal="right"/>
    </xf>
    <xf numFmtId="183" fontId="68" fillId="0" borderId="5" applyNumberFormat="0" applyFill="0" applyProtection="0">
      <alignment horizontal="right"/>
    </xf>
    <xf numFmtId="190" fontId="54" fillId="2" borderId="22" applyNumberFormat="0" applyAlignment="0" applyProtection="0">
      <alignment vertical="center"/>
    </xf>
    <xf numFmtId="190" fontId="68" fillId="0" borderId="5" applyNumberFormat="0" applyFill="0" applyProtection="0">
      <alignment horizontal="right"/>
    </xf>
    <xf numFmtId="183" fontId="68" fillId="0" borderId="5" applyNumberFormat="0" applyFill="0" applyProtection="0">
      <alignment horizontal="right"/>
    </xf>
    <xf numFmtId="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0" fillId="0" borderId="0">
      <alignment vertical="center"/>
    </xf>
    <xf numFmtId="190" fontId="76" fillId="0" borderId="32" applyNumberFormat="0" applyFill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0" fillId="0" borderId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0" fillId="0" borderId="0">
      <alignment vertical="center"/>
    </xf>
    <xf numFmtId="0" fontId="8" fillId="0" borderId="0">
      <alignment vertical="top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83" fontId="8" fillId="0" borderId="0"/>
    <xf numFmtId="183" fontId="8" fillId="0" borderId="0"/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0" fillId="0" borderId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76" fillId="0" borderId="32" applyNumberFormat="0" applyFill="0" applyAlignment="0" applyProtection="0">
      <alignment vertical="center"/>
    </xf>
    <xf numFmtId="183" fontId="8" fillId="0" borderId="0"/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8" fillId="0" borderId="0">
      <alignment vertical="top"/>
    </xf>
    <xf numFmtId="183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0" fontId="82" fillId="0" borderId="0"/>
    <xf numFmtId="0" fontId="0" fillId="0" borderId="0">
      <alignment vertical="center"/>
    </xf>
    <xf numFmtId="191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76" fillId="0" borderId="32" applyNumberFormat="0" applyFill="0" applyAlignment="0" applyProtection="0">
      <alignment vertical="center"/>
    </xf>
    <xf numFmtId="183" fontId="76" fillId="0" borderId="32" applyNumberFormat="0" applyFill="0" applyAlignment="0" applyProtection="0">
      <alignment vertical="center"/>
    </xf>
    <xf numFmtId="183" fontId="82" fillId="0" borderId="0"/>
    <xf numFmtId="183" fontId="82" fillId="0" borderId="0"/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82" fillId="0" borderId="0"/>
    <xf numFmtId="0" fontId="0" fillId="0" borderId="0">
      <alignment vertical="center"/>
    </xf>
    <xf numFmtId="190" fontId="76" fillId="0" borderId="32" applyNumberFormat="0" applyFill="0" applyAlignment="0" applyProtection="0">
      <alignment vertical="center"/>
    </xf>
    <xf numFmtId="190" fontId="76" fillId="0" borderId="32" applyNumberFormat="0" applyFill="0" applyAlignment="0" applyProtection="0">
      <alignment vertical="center"/>
    </xf>
    <xf numFmtId="0" fontId="82" fillId="0" borderId="0"/>
    <xf numFmtId="0" fontId="0" fillId="0" borderId="0">
      <alignment vertical="center"/>
    </xf>
    <xf numFmtId="183" fontId="76" fillId="0" borderId="32" applyNumberFormat="0" applyFill="0" applyAlignment="0" applyProtection="0">
      <alignment vertical="center"/>
    </xf>
    <xf numFmtId="183" fontId="82" fillId="0" borderId="0"/>
    <xf numFmtId="0" fontId="0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55" fillId="3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0" fontId="67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0" fontId="78" fillId="0" borderId="34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9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0" borderId="0"/>
    <xf numFmtId="190" fontId="78" fillId="0" borderId="34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0" fontId="0" fillId="0" borderId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78" fillId="0" borderId="34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43" fontId="8" fillId="0" borderId="0" applyFont="0" applyFill="0" applyBorder="0" applyAlignment="0" applyProtection="0"/>
    <xf numFmtId="190" fontId="78" fillId="0" borderId="34" applyNumberFormat="0" applyFill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90" fontId="78" fillId="0" borderId="34" applyNumberFormat="0" applyFill="0" applyAlignment="0" applyProtection="0">
      <alignment vertical="center"/>
    </xf>
    <xf numFmtId="183" fontId="78" fillId="0" borderId="34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43" fontId="8" fillId="0" borderId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7" fillId="0" borderId="35" applyNumberFormat="0" applyFill="0" applyAlignment="0" applyProtection="0">
      <alignment vertical="center"/>
    </xf>
    <xf numFmtId="191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83" fontId="82" fillId="0" borderId="0"/>
    <xf numFmtId="0" fontId="8" fillId="13" borderId="24" applyNumberFormat="0" applyFont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67" fillId="0" borderId="35" applyNumberFormat="0" applyFill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67" fillId="0" borderId="35" applyNumberFormat="0" applyFill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1" fillId="0" borderId="0"/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7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92" fillId="0" borderId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91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90" fontId="67" fillId="0" borderId="0" applyNumberFormat="0" applyFill="0" applyBorder="0" applyAlignment="0" applyProtection="0">
      <alignment vertical="center"/>
    </xf>
    <xf numFmtId="183" fontId="67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190" fontId="98" fillId="0" borderId="37" applyNumberFormat="0" applyFill="0" applyProtection="0">
      <alignment horizontal="centerContinuous"/>
    </xf>
    <xf numFmtId="190" fontId="88" fillId="0" borderId="0" applyNumberFormat="0" applyFill="0" applyBorder="0" applyAlignment="0" applyProtection="0">
      <alignment vertical="center"/>
    </xf>
    <xf numFmtId="19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91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0" fontId="0" fillId="0" borderId="0">
      <alignment vertical="center"/>
    </xf>
    <xf numFmtId="183" fontId="40" fillId="41" borderId="0" applyNumberFormat="0" applyBorder="0" applyAlignment="0" applyProtection="0">
      <alignment vertical="center"/>
    </xf>
    <xf numFmtId="191" fontId="98" fillId="0" borderId="37" applyNumberFormat="0" applyFill="0" applyProtection="0">
      <alignment horizontal="centerContinuous"/>
    </xf>
    <xf numFmtId="0" fontId="0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8" fillId="0" borderId="37" applyNumberFormat="0" applyFill="0" applyProtection="0">
      <alignment horizontal="centerContinuous"/>
    </xf>
    <xf numFmtId="0" fontId="0" fillId="0" borderId="0">
      <alignment vertical="center"/>
    </xf>
    <xf numFmtId="0" fontId="40" fillId="41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99" fontId="0" fillId="0" borderId="0">
      <alignment vertical="center"/>
    </xf>
    <xf numFmtId="183" fontId="40" fillId="41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0" fontId="0" fillId="0" borderId="0">
      <alignment vertical="center"/>
    </xf>
    <xf numFmtId="0" fontId="40" fillId="41" borderId="0" applyNumberFormat="0" applyBorder="0" applyAlignment="0" applyProtection="0">
      <alignment vertical="center"/>
    </xf>
    <xf numFmtId="183" fontId="98" fillId="0" borderId="37" applyNumberFormat="0" applyFill="0" applyProtection="0">
      <alignment horizontal="centerContinuous"/>
    </xf>
    <xf numFmtId="199" fontId="0" fillId="0" borderId="0">
      <alignment vertical="center"/>
    </xf>
    <xf numFmtId="191" fontId="98" fillId="0" borderId="37" applyNumberFormat="0" applyFill="0" applyProtection="0">
      <alignment horizontal="centerContinuous"/>
    </xf>
    <xf numFmtId="183" fontId="51" fillId="2" borderId="21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8" fillId="0" borderId="37" applyNumberFormat="0" applyFill="0" applyProtection="0">
      <alignment horizontal="centerContinuous"/>
    </xf>
    <xf numFmtId="0" fontId="0" fillId="0" borderId="0">
      <alignment vertical="center"/>
    </xf>
    <xf numFmtId="0" fontId="88" fillId="0" borderId="0" applyNumberFormat="0" applyFill="0" applyBorder="0" applyAlignment="0" applyProtection="0">
      <alignment vertical="center"/>
    </xf>
    <xf numFmtId="0" fontId="98" fillId="0" borderId="37" applyNumberFormat="0" applyFill="0" applyProtection="0">
      <alignment horizontal="centerContinuous"/>
    </xf>
    <xf numFmtId="183" fontId="98" fillId="0" borderId="37" applyNumberFormat="0" applyFill="0" applyProtection="0">
      <alignment horizontal="centerContinuous"/>
    </xf>
    <xf numFmtId="0" fontId="77" fillId="0" borderId="5" applyNumberFormat="0" applyFill="0" applyProtection="0">
      <alignment horizontal="center"/>
    </xf>
    <xf numFmtId="183" fontId="77" fillId="0" borderId="5" applyNumberFormat="0" applyFill="0" applyProtection="0">
      <alignment horizontal="center"/>
    </xf>
    <xf numFmtId="0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183" fontId="55" fillId="32" borderId="0" applyNumberFormat="0" applyBorder="0" applyAlignment="0" applyProtection="0">
      <alignment vertical="center"/>
    </xf>
    <xf numFmtId="183" fontId="77" fillId="0" borderId="5" applyNumberFormat="0" applyFill="0" applyProtection="0">
      <alignment horizontal="center"/>
    </xf>
    <xf numFmtId="0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43" fontId="82" fillId="0" borderId="0" applyFont="0" applyFill="0" applyBorder="0" applyAlignment="0" applyProtection="0"/>
    <xf numFmtId="183" fontId="77" fillId="0" borderId="5" applyNumberFormat="0" applyFill="0" applyProtection="0">
      <alignment horizontal="center"/>
    </xf>
    <xf numFmtId="0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183" fontId="61" fillId="0" borderId="25" applyNumberFormat="0" applyFill="0" applyAlignment="0" applyProtection="0">
      <alignment vertical="center"/>
    </xf>
    <xf numFmtId="183" fontId="77" fillId="0" borderId="5" applyNumberFormat="0" applyFill="0" applyProtection="0">
      <alignment horizontal="center"/>
    </xf>
    <xf numFmtId="0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77" fillId="0" borderId="5" applyNumberFormat="0" applyFill="0" applyProtection="0">
      <alignment horizontal="center"/>
    </xf>
    <xf numFmtId="0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183" fontId="77" fillId="0" borderId="5" applyNumberFormat="0" applyFill="0" applyProtection="0">
      <alignment horizontal="center"/>
    </xf>
    <xf numFmtId="191" fontId="77" fillId="0" borderId="5" applyNumberFormat="0" applyFill="0" applyProtection="0">
      <alignment horizontal="center"/>
    </xf>
    <xf numFmtId="183" fontId="77" fillId="0" borderId="5" applyNumberFormat="0" applyFill="0" applyProtection="0">
      <alignment horizontal="center"/>
    </xf>
    <xf numFmtId="190" fontId="8" fillId="0" borderId="0" applyNumberFormat="0" applyFont="0" applyFill="0" applyBorder="0" applyAlignment="0" applyProtection="0"/>
    <xf numFmtId="0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0" fontId="85" fillId="0" borderId="28" applyNumberFormat="0" applyFill="0" applyProtection="0">
      <alignment horizontal="center"/>
    </xf>
    <xf numFmtId="191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0" fontId="85" fillId="0" borderId="28" applyNumberFormat="0" applyFill="0" applyProtection="0">
      <alignment horizontal="center"/>
    </xf>
    <xf numFmtId="191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0" fontId="85" fillId="0" borderId="28" applyNumberFormat="0" applyFill="0" applyProtection="0">
      <alignment horizontal="center"/>
    </xf>
    <xf numFmtId="191" fontId="85" fillId="0" borderId="28" applyNumberFormat="0" applyFill="0" applyProtection="0">
      <alignment horizontal="center"/>
    </xf>
    <xf numFmtId="183" fontId="55" fillId="32" borderId="0" applyNumberFormat="0" applyBorder="0" applyAlignment="0" applyProtection="0">
      <alignment vertical="center"/>
    </xf>
    <xf numFmtId="183" fontId="85" fillId="0" borderId="28" applyNumberFormat="0" applyFill="0" applyProtection="0">
      <alignment horizontal="center"/>
    </xf>
    <xf numFmtId="0" fontId="85" fillId="0" borderId="28" applyNumberFormat="0" applyFill="0" applyProtection="0">
      <alignment horizontal="center"/>
    </xf>
    <xf numFmtId="191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0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191" fontId="85" fillId="0" borderId="28" applyNumberFormat="0" applyFill="0" applyProtection="0">
      <alignment horizontal="center"/>
    </xf>
    <xf numFmtId="190" fontId="85" fillId="0" borderId="28" applyNumberFormat="0" applyFill="0" applyProtection="0">
      <alignment horizontal="center"/>
    </xf>
    <xf numFmtId="183" fontId="85" fillId="0" borderId="28" applyNumberFormat="0" applyFill="0" applyProtection="0">
      <alignment horizont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82" fillId="0" borderId="0"/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9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221" fontId="0" fillId="0" borderId="0" applyFont="0" applyFill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90" fontId="57" fillId="26" borderId="0" applyNumberFormat="0" applyBorder="0" applyAlignment="0" applyProtection="0">
      <alignment vertical="center"/>
    </xf>
    <xf numFmtId="19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190" fontId="0" fillId="0" borderId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82" fillId="0" borderId="0"/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8" fillId="0" borderId="0">
      <alignment vertical="top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8" fillId="0" borderId="0">
      <alignment vertical="top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8" fillId="0" borderId="0">
      <alignment vertical="top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8" fillId="0" borderId="0">
      <alignment vertical="top"/>
    </xf>
    <xf numFmtId="183" fontId="57" fillId="26" borderId="0" applyNumberFormat="0" applyBorder="0" applyAlignment="0" applyProtection="0">
      <alignment vertical="center"/>
    </xf>
    <xf numFmtId="183" fontId="82" fillId="0" borderId="0"/>
    <xf numFmtId="0" fontId="57" fillId="26" borderId="0" applyNumberFormat="0" applyBorder="0" applyAlignment="0" applyProtection="0">
      <alignment vertical="center"/>
    </xf>
    <xf numFmtId="183" fontId="82" fillId="0" borderId="0"/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82" fillId="0" borderId="0"/>
    <xf numFmtId="183" fontId="57" fillId="26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0" fontId="65" fillId="0" borderId="0"/>
    <xf numFmtId="183" fontId="54" fillId="2" borderId="22" applyNumberFormat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8" fillId="0" borderId="0">
      <alignment vertical="top"/>
    </xf>
    <xf numFmtId="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0" fontId="0" fillId="0" borderId="0">
      <alignment vertical="center"/>
    </xf>
    <xf numFmtId="191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90" fontId="57" fillId="26" borderId="0" applyNumberFormat="0" applyBorder="0" applyAlignment="0" applyProtection="0">
      <alignment vertical="center"/>
    </xf>
    <xf numFmtId="183" fontId="57" fillId="26" borderId="0" applyNumberFormat="0" applyBorder="0" applyAlignment="0" applyProtection="0">
      <alignment vertical="center"/>
    </xf>
    <xf numFmtId="191" fontId="8" fillId="0" borderId="0">
      <alignment vertical="top"/>
    </xf>
    <xf numFmtId="183" fontId="51" fillId="2" borderId="21" applyNumberFormat="0" applyAlignment="0" applyProtection="0">
      <alignment vertical="center"/>
    </xf>
    <xf numFmtId="191" fontId="8" fillId="0" borderId="0">
      <alignment vertical="top"/>
    </xf>
    <xf numFmtId="183" fontId="8" fillId="0" borderId="0"/>
    <xf numFmtId="199" fontId="8" fillId="0" borderId="0">
      <alignment vertical="top"/>
    </xf>
    <xf numFmtId="183" fontId="8" fillId="0" borderId="0"/>
    <xf numFmtId="226" fontId="8" fillId="0" borderId="0">
      <alignment vertical="top"/>
    </xf>
    <xf numFmtId="43" fontId="0" fillId="0" borderId="0" applyFont="0" applyFill="0" applyBorder="0" applyAlignment="0" applyProtection="0">
      <alignment vertical="center"/>
    </xf>
    <xf numFmtId="199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/>
    <xf numFmtId="199" fontId="8" fillId="0" borderId="0">
      <alignment vertical="top"/>
    </xf>
    <xf numFmtId="183" fontId="8" fillId="0" borderId="0"/>
    <xf numFmtId="183" fontId="8" fillId="0" borderId="0"/>
    <xf numFmtId="183" fontId="8" fillId="0" borderId="0"/>
    <xf numFmtId="183" fontId="82" fillId="0" borderId="0"/>
    <xf numFmtId="0" fontId="82" fillId="0" borderId="0"/>
    <xf numFmtId="0" fontId="68" fillId="0" borderId="0"/>
    <xf numFmtId="183" fontId="51" fillId="2" borderId="21" applyNumberFormat="0" applyAlignment="0" applyProtection="0">
      <alignment vertical="center"/>
    </xf>
    <xf numFmtId="183" fontId="8" fillId="0" borderId="0">
      <alignment vertical="top"/>
    </xf>
    <xf numFmtId="183" fontId="8" fillId="0" borderId="0">
      <alignment vertical="top"/>
    </xf>
    <xf numFmtId="199" fontId="8" fillId="0" borderId="0">
      <alignment vertical="center"/>
    </xf>
    <xf numFmtId="0" fontId="8" fillId="0" borderId="0"/>
    <xf numFmtId="183" fontId="8" fillId="0" borderId="0">
      <alignment vertical="top"/>
    </xf>
    <xf numFmtId="199" fontId="82" fillId="0" borderId="0"/>
    <xf numFmtId="183" fontId="82" fillId="0" borderId="0"/>
    <xf numFmtId="0" fontId="8" fillId="13" borderId="24" applyNumberFormat="0" applyFont="0" applyAlignment="0" applyProtection="0">
      <alignment vertical="center"/>
    </xf>
    <xf numFmtId="0" fontId="82" fillId="0" borderId="0"/>
    <xf numFmtId="0" fontId="8" fillId="13" borderId="24" applyNumberFormat="0" applyFont="0" applyAlignment="0" applyProtection="0">
      <alignment vertical="center"/>
    </xf>
    <xf numFmtId="183" fontId="82" fillId="0" borderId="0"/>
    <xf numFmtId="183" fontId="82" fillId="0" borderId="0"/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2" fillId="0" borderId="0"/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2" fillId="0" borderId="0"/>
    <xf numFmtId="191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2" fillId="0" borderId="0"/>
    <xf numFmtId="0" fontId="82" fillId="0" borderId="0"/>
    <xf numFmtId="183" fontId="82" fillId="0" borderId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2" fillId="0" borderId="0"/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top"/>
    </xf>
    <xf numFmtId="190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90" fontId="8" fillId="0" borderId="0">
      <alignment vertical="top"/>
    </xf>
    <xf numFmtId="19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190" fontId="8" fillId="0" borderId="0">
      <alignment vertical="top"/>
    </xf>
    <xf numFmtId="190" fontId="8" fillId="0" borderId="0">
      <alignment vertical="top"/>
    </xf>
    <xf numFmtId="199" fontId="22" fillId="0" borderId="0">
      <alignment vertical="top"/>
    </xf>
    <xf numFmtId="190" fontId="8" fillId="0" borderId="0">
      <alignment vertical="top"/>
    </xf>
    <xf numFmtId="190" fontId="8" fillId="0" borderId="0">
      <alignment vertical="top"/>
    </xf>
    <xf numFmtId="200" fontId="8" fillId="0" borderId="0">
      <alignment vertical="top"/>
    </xf>
    <xf numFmtId="200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183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0" fontId="8" fillId="0" borderId="0">
      <alignment vertical="top"/>
    </xf>
    <xf numFmtId="191" fontId="40" fillId="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8" fillId="0" borderId="0"/>
    <xf numFmtId="190" fontId="8" fillId="0" borderId="0">
      <alignment vertical="top"/>
    </xf>
    <xf numFmtId="183" fontId="8" fillId="0" borderId="0">
      <alignment vertical="top"/>
    </xf>
    <xf numFmtId="190" fontId="8" fillId="0" borderId="0">
      <alignment vertical="top"/>
    </xf>
    <xf numFmtId="190" fontId="8" fillId="0" borderId="0">
      <alignment vertical="top"/>
    </xf>
    <xf numFmtId="0" fontId="40" fillId="27" borderId="0" applyNumberFormat="0" applyBorder="0" applyAlignment="0" applyProtection="0">
      <alignment vertical="center"/>
    </xf>
    <xf numFmtId="190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0" fontId="82" fillId="0" borderId="0"/>
    <xf numFmtId="190" fontId="8" fillId="0" borderId="0" applyNumberFormat="0" applyFont="0" applyFill="0" applyBorder="0" applyAlignment="0" applyProtection="0"/>
    <xf numFmtId="183" fontId="82" fillId="0" borderId="0"/>
    <xf numFmtId="199" fontId="82" fillId="0" borderId="0"/>
    <xf numFmtId="0" fontId="82" fillId="0" borderId="0"/>
    <xf numFmtId="183" fontId="82" fillId="0" borderId="0"/>
    <xf numFmtId="0" fontId="8" fillId="13" borderId="24" applyNumberFormat="0" applyFont="0" applyAlignment="0" applyProtection="0">
      <alignment vertical="center"/>
    </xf>
    <xf numFmtId="183" fontId="82" fillId="0" borderId="0"/>
    <xf numFmtId="0" fontId="8" fillId="13" borderId="24" applyNumberFormat="0" applyFont="0" applyAlignment="0" applyProtection="0">
      <alignment vertical="center"/>
    </xf>
    <xf numFmtId="0" fontId="82" fillId="0" borderId="0"/>
    <xf numFmtId="0" fontId="8" fillId="13" borderId="24" applyNumberFormat="0" applyFont="0" applyAlignment="0" applyProtection="0">
      <alignment vertical="center"/>
    </xf>
    <xf numFmtId="0" fontId="82" fillId="0" borderId="0"/>
    <xf numFmtId="183" fontId="82" fillId="0" borderId="0"/>
    <xf numFmtId="199" fontId="82" fillId="0" borderId="0"/>
    <xf numFmtId="0" fontId="82" fillId="0" borderId="0"/>
    <xf numFmtId="183" fontId="82" fillId="0" borderId="0"/>
    <xf numFmtId="0" fontId="8" fillId="13" borderId="24" applyNumberFormat="0" applyFont="0" applyAlignment="0" applyProtection="0">
      <alignment vertical="center"/>
    </xf>
    <xf numFmtId="183" fontId="82" fillId="0" borderId="0"/>
    <xf numFmtId="0" fontId="8" fillId="13" borderId="24" applyNumberFormat="0" applyFont="0" applyAlignment="0" applyProtection="0">
      <alignment vertical="center"/>
    </xf>
    <xf numFmtId="0" fontId="82" fillId="0" borderId="0"/>
    <xf numFmtId="0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0" borderId="0"/>
    <xf numFmtId="199" fontId="0" fillId="0" borderId="0">
      <alignment vertical="center"/>
    </xf>
    <xf numFmtId="183" fontId="8" fillId="0" borderId="0"/>
    <xf numFmtId="199" fontId="0" fillId="0" borderId="0">
      <alignment vertical="center"/>
    </xf>
    <xf numFmtId="0" fontId="8" fillId="0" borderId="0"/>
    <xf numFmtId="183" fontId="8" fillId="0" borderId="0"/>
    <xf numFmtId="0" fontId="8" fillId="0" borderId="0">
      <alignment vertical="top"/>
    </xf>
    <xf numFmtId="183" fontId="8" fillId="0" borderId="0"/>
    <xf numFmtId="199" fontId="8" fillId="0" borderId="0">
      <alignment vertical="top"/>
    </xf>
    <xf numFmtId="191" fontId="8" fillId="0" borderId="0">
      <alignment vertical="top"/>
    </xf>
    <xf numFmtId="183" fontId="8" fillId="0" borderId="0"/>
    <xf numFmtId="183" fontId="8" fillId="0" borderId="0"/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39" fillId="0" borderId="0">
      <alignment vertical="center"/>
    </xf>
    <xf numFmtId="183" fontId="91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0" fontId="39" fillId="0" borderId="0">
      <alignment vertical="center"/>
    </xf>
    <xf numFmtId="190" fontId="55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191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0" fontId="8" fillId="0" borderId="0"/>
    <xf numFmtId="190" fontId="8" fillId="0" borderId="0">
      <alignment vertical="top"/>
    </xf>
    <xf numFmtId="0" fontId="22" fillId="0" borderId="0">
      <alignment vertical="top"/>
    </xf>
    <xf numFmtId="0" fontId="82" fillId="0" borderId="0"/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40" fillId="42" borderId="0" applyNumberFormat="0" applyBorder="0" applyAlignment="0" applyProtection="0">
      <alignment vertical="center"/>
    </xf>
    <xf numFmtId="0" fontId="0" fillId="0" borderId="0">
      <alignment vertical="center"/>
    </xf>
    <xf numFmtId="190" fontId="68" fillId="0" borderId="5" applyNumberFormat="0" applyFill="0" applyProtection="0">
      <alignment horizontal="left"/>
    </xf>
    <xf numFmtId="199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190" fontId="8" fillId="0" borderId="0"/>
    <xf numFmtId="19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19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/>
    <xf numFmtId="0" fontId="8" fillId="0" borderId="0">
      <alignment vertical="top"/>
    </xf>
    <xf numFmtId="0" fontId="8" fillId="0" borderId="0"/>
    <xf numFmtId="190" fontId="82" fillId="0" borderId="0"/>
    <xf numFmtId="0" fontId="40" fillId="27" borderId="0" applyNumberFormat="0" applyBorder="0" applyAlignment="0" applyProtection="0">
      <alignment vertical="center"/>
    </xf>
    <xf numFmtId="0" fontId="8" fillId="0" borderId="0"/>
    <xf numFmtId="190" fontId="8" fillId="0" borderId="0"/>
    <xf numFmtId="199" fontId="82" fillId="0" borderId="0"/>
    <xf numFmtId="0" fontId="8" fillId="0" borderId="0"/>
    <xf numFmtId="183" fontId="92" fillId="0" borderId="0">
      <alignment vertical="center"/>
    </xf>
    <xf numFmtId="183" fontId="8" fillId="0" borderId="0"/>
    <xf numFmtId="183" fontId="92" fillId="0" borderId="0">
      <alignment vertical="center"/>
    </xf>
    <xf numFmtId="0" fontId="0" fillId="0" borderId="0">
      <alignment vertical="center"/>
    </xf>
    <xf numFmtId="183" fontId="92" fillId="0" borderId="0">
      <alignment vertical="center"/>
    </xf>
    <xf numFmtId="190" fontId="8" fillId="0" borderId="0"/>
    <xf numFmtId="0" fontId="8" fillId="0" borderId="0"/>
    <xf numFmtId="183" fontId="92" fillId="0" borderId="0">
      <alignment vertical="center"/>
    </xf>
    <xf numFmtId="183" fontId="8" fillId="0" borderId="0"/>
    <xf numFmtId="183" fontId="92" fillId="0" borderId="0">
      <alignment vertical="center"/>
    </xf>
    <xf numFmtId="0" fontId="82" fillId="0" borderId="0"/>
    <xf numFmtId="0" fontId="8" fillId="0" borderId="0">
      <alignment vertical="center"/>
    </xf>
    <xf numFmtId="190" fontId="8" fillId="0" borderId="0"/>
    <xf numFmtId="183" fontId="92" fillId="0" borderId="0">
      <alignment vertical="center"/>
    </xf>
    <xf numFmtId="183" fontId="8" fillId="0" borderId="0"/>
    <xf numFmtId="0" fontId="8" fillId="0" borderId="0"/>
    <xf numFmtId="183" fontId="51" fillId="2" borderId="21" applyNumberFormat="0" applyAlignment="0" applyProtection="0">
      <alignment vertical="center"/>
    </xf>
    <xf numFmtId="183" fontId="92" fillId="0" borderId="0">
      <alignment vertical="center"/>
    </xf>
    <xf numFmtId="183" fontId="8" fillId="0" borderId="0"/>
    <xf numFmtId="183" fontId="92" fillId="0" borderId="0">
      <alignment vertical="center"/>
    </xf>
    <xf numFmtId="199" fontId="0" fillId="0" borderId="0">
      <alignment vertical="center"/>
    </xf>
    <xf numFmtId="199" fontId="0" fillId="0" borderId="0"/>
    <xf numFmtId="183" fontId="8" fillId="0" borderId="0"/>
    <xf numFmtId="183" fontId="92" fillId="0" borderId="0">
      <alignment vertical="center"/>
    </xf>
    <xf numFmtId="0" fontId="8" fillId="0" borderId="0"/>
    <xf numFmtId="183" fontId="51" fillId="2" borderId="21" applyNumberFormat="0" applyAlignment="0" applyProtection="0">
      <alignment vertical="center"/>
    </xf>
    <xf numFmtId="183" fontId="92" fillId="0" borderId="0">
      <alignment vertical="center"/>
    </xf>
    <xf numFmtId="183" fontId="8" fillId="0" borderId="0"/>
    <xf numFmtId="183" fontId="92" fillId="0" borderId="0">
      <alignment vertical="center"/>
    </xf>
    <xf numFmtId="190" fontId="8" fillId="0" borderId="0"/>
    <xf numFmtId="183" fontId="92" fillId="0" borderId="0">
      <alignment vertical="center"/>
    </xf>
    <xf numFmtId="183" fontId="8" fillId="0" borderId="0"/>
    <xf numFmtId="0" fontId="8" fillId="0" borderId="0"/>
    <xf numFmtId="183" fontId="92" fillId="0" borderId="0">
      <alignment vertical="center"/>
    </xf>
    <xf numFmtId="190" fontId="51" fillId="2" borderId="21" applyNumberFormat="0" applyAlignment="0" applyProtection="0">
      <alignment vertical="center"/>
    </xf>
    <xf numFmtId="183" fontId="92" fillId="0" borderId="0">
      <alignment vertical="center"/>
    </xf>
    <xf numFmtId="190" fontId="0" fillId="0" borderId="0">
      <alignment vertical="center"/>
    </xf>
    <xf numFmtId="183" fontId="92" fillId="0" borderId="0">
      <alignment vertical="center"/>
    </xf>
    <xf numFmtId="183" fontId="8" fillId="0" borderId="0"/>
    <xf numFmtId="183" fontId="92" fillId="0" borderId="0">
      <alignment vertical="center"/>
    </xf>
    <xf numFmtId="0" fontId="8" fillId="0" borderId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2" fillId="0" borderId="0">
      <alignment vertical="center"/>
    </xf>
    <xf numFmtId="0" fontId="8" fillId="0" borderId="0"/>
    <xf numFmtId="183" fontId="92" fillId="0" borderId="0">
      <alignment vertical="center"/>
    </xf>
    <xf numFmtId="0" fontId="82" fillId="0" borderId="0"/>
    <xf numFmtId="183" fontId="92" fillId="0" borderId="0">
      <alignment vertical="center"/>
    </xf>
    <xf numFmtId="0" fontId="0" fillId="0" borderId="0">
      <alignment vertical="center"/>
    </xf>
    <xf numFmtId="0" fontId="8" fillId="0" borderId="0">
      <alignment vertical="top"/>
    </xf>
    <xf numFmtId="183" fontId="8" fillId="0" borderId="0">
      <alignment vertical="top"/>
    </xf>
    <xf numFmtId="43" fontId="0" fillId="0" borderId="0" applyFont="0" applyFill="0" applyBorder="0" applyAlignment="0" applyProtection="0">
      <alignment vertical="center"/>
    </xf>
    <xf numFmtId="0" fontId="8" fillId="0" borderId="0">
      <alignment vertical="top"/>
    </xf>
    <xf numFmtId="0" fontId="91" fillId="0" borderId="0" applyNumberFormat="0" applyFill="0" applyBorder="0" applyAlignment="0" applyProtection="0">
      <alignment vertical="center"/>
    </xf>
    <xf numFmtId="183" fontId="8" fillId="0" borderId="0">
      <alignment vertical="top"/>
    </xf>
    <xf numFmtId="43" fontId="0" fillId="0" borderId="0" applyFont="0" applyFill="0" applyBorder="0" applyAlignment="0" applyProtection="0">
      <alignment vertical="center"/>
    </xf>
    <xf numFmtId="183" fontId="8" fillId="0" borderId="0">
      <alignment vertical="top"/>
    </xf>
    <xf numFmtId="0" fontId="8" fillId="0" borderId="0">
      <alignment vertical="top"/>
    </xf>
    <xf numFmtId="0" fontId="91" fillId="0" borderId="0" applyNumberFormat="0" applyFill="0" applyBorder="0" applyAlignment="0" applyProtection="0">
      <alignment vertical="center"/>
    </xf>
    <xf numFmtId="183" fontId="8" fillId="0" borderId="0">
      <alignment vertical="top"/>
    </xf>
    <xf numFmtId="0" fontId="8" fillId="0" borderId="0">
      <alignment vertical="top"/>
    </xf>
    <xf numFmtId="0" fontId="91" fillId="0" borderId="0" applyNumberFormat="0" applyFill="0" applyBorder="0" applyAlignment="0" applyProtection="0">
      <alignment vertical="center"/>
    </xf>
    <xf numFmtId="183" fontId="8" fillId="0" borderId="0">
      <alignment vertical="top"/>
    </xf>
    <xf numFmtId="0" fontId="40" fillId="63" borderId="0" applyNumberFormat="0" applyBorder="0" applyAlignment="0" applyProtection="0">
      <alignment vertical="center"/>
    </xf>
    <xf numFmtId="0" fontId="8" fillId="0" borderId="0">
      <alignment vertical="top"/>
    </xf>
    <xf numFmtId="43" fontId="8" fillId="0" borderId="0" applyFont="0" applyFill="0" applyBorder="0" applyAlignment="0" applyProtection="0"/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0" fontId="8" fillId="0" borderId="0"/>
    <xf numFmtId="43" fontId="8" fillId="0" borderId="0" applyFont="0" applyFill="0" applyBorder="0" applyAlignment="0" applyProtection="0"/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>
      <alignment vertical="top"/>
    </xf>
    <xf numFmtId="183" fontId="8" fillId="0" borderId="0">
      <alignment vertical="top"/>
    </xf>
    <xf numFmtId="0" fontId="0" fillId="0" borderId="0">
      <alignment vertical="center"/>
    </xf>
    <xf numFmtId="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83" fontId="8" fillId="0" borderId="0">
      <alignment vertical="top"/>
    </xf>
    <xf numFmtId="183" fontId="8" fillId="0" borderId="0">
      <alignment vertical="top"/>
    </xf>
    <xf numFmtId="183" fontId="8" fillId="0" borderId="0">
      <alignment vertical="top"/>
    </xf>
    <xf numFmtId="0" fontId="8" fillId="0" borderId="0"/>
    <xf numFmtId="183" fontId="92" fillId="0" borderId="0">
      <alignment vertical="center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0" fontId="8" fillId="0" borderId="0"/>
    <xf numFmtId="0" fontId="8" fillId="0" borderId="0"/>
    <xf numFmtId="43" fontId="8" fillId="0" borderId="0" applyFont="0" applyFill="0" applyBorder="0" applyAlignment="0" applyProtection="0"/>
    <xf numFmtId="183" fontId="8" fillId="0" borderId="0">
      <alignment vertical="top"/>
    </xf>
    <xf numFmtId="183" fontId="8" fillId="0" borderId="0">
      <alignment vertical="top"/>
    </xf>
    <xf numFmtId="0" fontId="8" fillId="0" borderId="0"/>
    <xf numFmtId="183" fontId="92" fillId="0" borderId="0">
      <alignment vertical="center"/>
    </xf>
    <xf numFmtId="183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190" fontId="8" fillId="0" borderId="0" applyNumberFormat="0" applyFont="0" applyFill="0" applyBorder="0" applyAlignment="0" applyProtection="0"/>
    <xf numFmtId="183" fontId="82" fillId="0" borderId="0"/>
    <xf numFmtId="183" fontId="82" fillId="0" borderId="0"/>
    <xf numFmtId="183" fontId="82" fillId="0" borderId="0"/>
    <xf numFmtId="183" fontId="82" fillId="0" borderId="0"/>
    <xf numFmtId="183" fontId="82" fillId="0" borderId="0"/>
    <xf numFmtId="183" fontId="82" fillId="0" borderId="0"/>
    <xf numFmtId="183" fontId="82" fillId="0" borderId="0"/>
    <xf numFmtId="183" fontId="82" fillId="0" borderId="0"/>
    <xf numFmtId="0" fontId="8" fillId="0" borderId="0">
      <alignment vertical="top"/>
    </xf>
    <xf numFmtId="183" fontId="82" fillId="0" borderId="0"/>
    <xf numFmtId="183" fontId="8" fillId="0" borderId="0">
      <alignment vertical="top"/>
    </xf>
    <xf numFmtId="183" fontId="8" fillId="0" borderId="0">
      <alignment vertical="top"/>
    </xf>
    <xf numFmtId="199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183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190" fontId="82" fillId="0" borderId="0"/>
    <xf numFmtId="183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183" fontId="8" fillId="0" borderId="0">
      <alignment vertical="top"/>
    </xf>
    <xf numFmtId="183" fontId="8" fillId="0" borderId="0">
      <alignment vertical="top"/>
    </xf>
    <xf numFmtId="183" fontId="8" fillId="0" borderId="0">
      <alignment vertical="top"/>
    </xf>
    <xf numFmtId="190" fontId="82" fillId="0" borderId="0"/>
    <xf numFmtId="183" fontId="8" fillId="0" borderId="0"/>
    <xf numFmtId="190" fontId="8" fillId="0" borderId="0">
      <alignment vertical="top"/>
    </xf>
    <xf numFmtId="0" fontId="8" fillId="0" borderId="0">
      <alignment vertical="top"/>
    </xf>
    <xf numFmtId="183" fontId="8" fillId="0" borderId="0"/>
    <xf numFmtId="183" fontId="8" fillId="0" borderId="0"/>
    <xf numFmtId="199" fontId="8" fillId="0" borderId="0">
      <alignment vertical="top"/>
    </xf>
    <xf numFmtId="190" fontId="82" fillId="0" borderId="0"/>
    <xf numFmtId="190" fontId="8" fillId="0" borderId="0">
      <alignment vertical="top"/>
    </xf>
    <xf numFmtId="183" fontId="8" fillId="0" borderId="0"/>
    <xf numFmtId="190" fontId="82" fillId="0" borderId="0"/>
    <xf numFmtId="183" fontId="8" fillId="0" borderId="0"/>
    <xf numFmtId="183" fontId="82" fillId="0" borderId="0"/>
    <xf numFmtId="183" fontId="82" fillId="0" borderId="0"/>
    <xf numFmtId="183" fontId="92" fillId="0" borderId="0">
      <alignment vertical="center"/>
    </xf>
    <xf numFmtId="0" fontId="8" fillId="0" borderId="0">
      <alignment vertical="top"/>
    </xf>
    <xf numFmtId="183" fontId="54" fillId="2" borderId="22" applyNumberFormat="0" applyAlignment="0" applyProtection="0">
      <alignment vertical="center"/>
    </xf>
    <xf numFmtId="199" fontId="8" fillId="0" borderId="0">
      <alignment vertical="top"/>
    </xf>
    <xf numFmtId="190" fontId="8" fillId="0" borderId="0">
      <alignment vertical="top"/>
    </xf>
    <xf numFmtId="0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199" fontId="8" fillId="0" borderId="0">
      <alignment vertical="top"/>
    </xf>
    <xf numFmtId="190" fontId="8" fillId="0" borderId="0">
      <alignment vertical="top"/>
    </xf>
    <xf numFmtId="0" fontId="8" fillId="0" borderId="0">
      <alignment vertical="top"/>
    </xf>
    <xf numFmtId="183" fontId="8" fillId="0" borderId="0">
      <alignment vertical="top"/>
    </xf>
    <xf numFmtId="190" fontId="8" fillId="0" borderId="0">
      <alignment vertical="top"/>
    </xf>
    <xf numFmtId="190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0" fontId="54" fillId="2" borderId="22" applyNumberFormat="0" applyAlignment="0" applyProtection="0">
      <alignment vertical="center"/>
    </xf>
    <xf numFmtId="221" fontId="8" fillId="0" borderId="0">
      <alignment vertical="top"/>
    </xf>
    <xf numFmtId="190" fontId="8" fillId="0" borderId="0" applyNumberFormat="0" applyFont="0" applyFill="0" applyBorder="0" applyAlignment="0" applyProtection="0"/>
    <xf numFmtId="221" fontId="8" fillId="0" borderId="0">
      <alignment vertical="top"/>
    </xf>
    <xf numFmtId="190" fontId="8" fillId="0" borderId="0" applyNumberFormat="0" applyFont="0" applyFill="0" applyBorder="0" applyAlignment="0" applyProtection="0"/>
    <xf numFmtId="221" fontId="8" fillId="0" borderId="0">
      <alignment vertical="top"/>
    </xf>
    <xf numFmtId="183" fontId="8" fillId="0" borderId="0">
      <alignment vertical="top"/>
    </xf>
    <xf numFmtId="221" fontId="8" fillId="0" borderId="0">
      <alignment vertical="top"/>
    </xf>
    <xf numFmtId="19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190" fontId="8" fillId="0" borderId="0">
      <alignment vertical="top"/>
    </xf>
    <xf numFmtId="190" fontId="8" fillId="0" borderId="0" applyNumberFormat="0" applyFont="0" applyFill="0" applyBorder="0" applyAlignment="0" applyProtection="0"/>
    <xf numFmtId="221" fontId="8" fillId="0" borderId="0">
      <alignment vertical="top"/>
    </xf>
    <xf numFmtId="0" fontId="40" fillId="63" borderId="0" applyNumberFormat="0" applyBorder="0" applyAlignment="0" applyProtection="0">
      <alignment vertical="center"/>
    </xf>
    <xf numFmtId="190" fontId="8" fillId="0" borderId="0">
      <alignment vertical="top"/>
    </xf>
    <xf numFmtId="0" fontId="40" fillId="63" borderId="0" applyNumberFormat="0" applyBorder="0" applyAlignment="0" applyProtection="0">
      <alignment vertical="center"/>
    </xf>
    <xf numFmtId="221" fontId="8" fillId="0" borderId="0">
      <alignment vertical="top"/>
    </xf>
    <xf numFmtId="190" fontId="8" fillId="0" borderId="0" applyNumberFormat="0" applyFont="0" applyFill="0" applyBorder="0" applyAlignment="0" applyProtection="0"/>
    <xf numFmtId="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190" fontId="8" fillId="0" borderId="0">
      <alignment vertical="top"/>
    </xf>
    <xf numFmtId="190" fontId="8" fillId="0" borderId="0" applyNumberFormat="0" applyFont="0" applyFill="0" applyBorder="0" applyAlignment="0" applyProtection="0"/>
    <xf numFmtId="221" fontId="8" fillId="0" borderId="0">
      <alignment vertical="top"/>
    </xf>
    <xf numFmtId="221" fontId="8" fillId="0" borderId="0">
      <alignment vertical="top"/>
    </xf>
    <xf numFmtId="19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221" fontId="8" fillId="0" borderId="0">
      <alignment vertical="top"/>
    </xf>
    <xf numFmtId="190" fontId="8" fillId="0" borderId="0">
      <alignment vertical="top"/>
    </xf>
    <xf numFmtId="183" fontId="40" fillId="63" borderId="0" applyNumberFormat="0" applyBorder="0" applyAlignment="0" applyProtection="0">
      <alignment vertical="center"/>
    </xf>
    <xf numFmtId="221" fontId="8" fillId="0" borderId="0">
      <alignment vertical="top"/>
    </xf>
    <xf numFmtId="221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221" fontId="8" fillId="0" borderId="0">
      <alignment vertical="top"/>
    </xf>
    <xf numFmtId="190" fontId="8" fillId="0" borderId="0" applyNumberFormat="0" applyFont="0" applyFill="0" applyBorder="0" applyAlignment="0" applyProtection="0"/>
    <xf numFmtId="183" fontId="8" fillId="0" borderId="0">
      <alignment vertical="top"/>
    </xf>
    <xf numFmtId="221" fontId="8" fillId="0" borderId="0">
      <alignment vertical="top"/>
    </xf>
    <xf numFmtId="183" fontId="8" fillId="0" borderId="0">
      <alignment vertical="top"/>
    </xf>
    <xf numFmtId="221" fontId="8" fillId="0" borderId="0">
      <alignment vertical="top"/>
    </xf>
    <xf numFmtId="0" fontId="8" fillId="0" borderId="0">
      <alignment vertical="top"/>
    </xf>
    <xf numFmtId="183" fontId="40" fillId="4" borderId="0" applyNumberFormat="0" applyBorder="0" applyAlignment="0" applyProtection="0">
      <alignment vertical="center"/>
    </xf>
    <xf numFmtId="19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221" fontId="8" fillId="0" borderId="0">
      <alignment vertical="top"/>
    </xf>
    <xf numFmtId="221" fontId="8" fillId="0" borderId="0">
      <alignment vertical="top"/>
    </xf>
    <xf numFmtId="190" fontId="8" fillId="0" borderId="0">
      <alignment vertical="top"/>
    </xf>
    <xf numFmtId="183" fontId="40" fillId="4" borderId="0" applyNumberFormat="0" applyBorder="0" applyAlignment="0" applyProtection="0">
      <alignment vertical="center"/>
    </xf>
    <xf numFmtId="221" fontId="8" fillId="0" borderId="0">
      <alignment vertical="top"/>
    </xf>
    <xf numFmtId="190" fontId="82" fillId="0" borderId="0"/>
    <xf numFmtId="183" fontId="40" fillId="4" borderId="0" applyNumberFormat="0" applyBorder="0" applyAlignment="0" applyProtection="0">
      <alignment vertical="center"/>
    </xf>
    <xf numFmtId="221" fontId="8" fillId="0" borderId="0">
      <alignment vertical="top"/>
    </xf>
    <xf numFmtId="221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190" fontId="8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>
      <alignment vertical="top"/>
    </xf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199" fontId="8" fillId="0" borderId="0" applyNumberFormat="0" applyFont="0" applyFill="0" applyBorder="0" applyProtection="0">
      <alignment vertical="center"/>
    </xf>
    <xf numFmtId="183" fontId="0" fillId="0" borderId="0">
      <alignment vertical="center"/>
    </xf>
    <xf numFmtId="183" fontId="0" fillId="0" borderId="0">
      <alignment vertical="center"/>
    </xf>
    <xf numFmtId="0" fontId="8" fillId="0" borderId="0">
      <alignment vertical="top"/>
    </xf>
    <xf numFmtId="183" fontId="40" fillId="27" borderId="0" applyNumberFormat="0" applyBorder="0" applyAlignment="0" applyProtection="0">
      <alignment vertical="center"/>
    </xf>
    <xf numFmtId="183" fontId="0" fillId="0" borderId="0">
      <alignment vertical="center"/>
    </xf>
    <xf numFmtId="183" fontId="0" fillId="0" borderId="0">
      <alignment vertical="center"/>
    </xf>
    <xf numFmtId="0" fontId="8" fillId="0" borderId="0">
      <alignment vertical="top"/>
    </xf>
    <xf numFmtId="183" fontId="40" fillId="34" borderId="0" applyNumberFormat="0" applyBorder="0" applyAlignment="0" applyProtection="0">
      <alignment vertical="center"/>
    </xf>
    <xf numFmtId="183" fontId="0" fillId="0" borderId="0">
      <alignment vertical="center"/>
    </xf>
    <xf numFmtId="183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82" fillId="0" borderId="0"/>
    <xf numFmtId="0" fontId="8" fillId="0" borderId="0">
      <alignment vertical="top"/>
    </xf>
    <xf numFmtId="183" fontId="8" fillId="0" borderId="0"/>
    <xf numFmtId="0" fontId="8" fillId="0" borderId="0"/>
    <xf numFmtId="0" fontId="8" fillId="0" borderId="0"/>
    <xf numFmtId="183" fontId="8" fillId="0" borderId="0"/>
    <xf numFmtId="191" fontId="8" fillId="0" borderId="0">
      <alignment vertical="top"/>
    </xf>
    <xf numFmtId="183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99" fontId="8" fillId="0" borderId="0">
      <alignment vertical="top"/>
    </xf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0" fontId="8" fillId="0" borderId="0">
      <alignment vertical="top"/>
    </xf>
    <xf numFmtId="183" fontId="54" fillId="2" borderId="22" applyNumberFormat="0" applyAlignment="0" applyProtection="0">
      <alignment vertical="center"/>
    </xf>
    <xf numFmtId="199" fontId="8" fillId="0" borderId="0">
      <alignment vertical="top"/>
    </xf>
    <xf numFmtId="183" fontId="54" fillId="2" borderId="22" applyNumberFormat="0" applyAlignment="0" applyProtection="0">
      <alignment vertical="center"/>
    </xf>
    <xf numFmtId="0" fontId="8" fillId="0" borderId="0">
      <alignment vertical="top"/>
    </xf>
    <xf numFmtId="190" fontId="8" fillId="0" borderId="0"/>
    <xf numFmtId="190" fontId="8" fillId="0" borderId="0">
      <alignment vertical="top"/>
    </xf>
    <xf numFmtId="190" fontId="8" fillId="0" borderId="0"/>
    <xf numFmtId="190" fontId="8" fillId="0" borderId="0"/>
    <xf numFmtId="0" fontId="8" fillId="0" borderId="0"/>
    <xf numFmtId="0" fontId="54" fillId="2" borderId="22" applyNumberFormat="0" applyAlignment="0" applyProtection="0">
      <alignment vertical="center"/>
    </xf>
    <xf numFmtId="199" fontId="8" fillId="0" borderId="0">
      <alignment vertical="top"/>
    </xf>
    <xf numFmtId="190" fontId="8" fillId="0" borderId="0"/>
    <xf numFmtId="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0" fontId="8" fillId="0" borderId="0">
      <alignment vertical="top"/>
    </xf>
    <xf numFmtId="0" fontId="82" fillId="0" borderId="0"/>
    <xf numFmtId="0" fontId="82" fillId="0" borderId="0"/>
    <xf numFmtId="183" fontId="82" fillId="0" borderId="0"/>
    <xf numFmtId="0" fontId="82" fillId="0" borderId="0"/>
    <xf numFmtId="183" fontId="82" fillId="0" borderId="0"/>
    <xf numFmtId="0" fontId="82" fillId="0" borderId="0"/>
    <xf numFmtId="190" fontId="8" fillId="0" borderId="0" applyNumberFormat="0" applyFont="0" applyFill="0" applyBorder="0" applyAlignment="0" applyProtection="0"/>
    <xf numFmtId="199" fontId="82" fillId="0" borderId="0"/>
    <xf numFmtId="0" fontId="82" fillId="0" borderId="0"/>
    <xf numFmtId="183" fontId="54" fillId="2" borderId="22" applyNumberFormat="0" applyAlignment="0" applyProtection="0">
      <alignment vertical="center"/>
    </xf>
    <xf numFmtId="191" fontId="82" fillId="0" borderId="0"/>
    <xf numFmtId="183" fontId="54" fillId="2" borderId="22" applyNumberFormat="0" applyAlignment="0" applyProtection="0">
      <alignment vertical="center"/>
    </xf>
    <xf numFmtId="0" fontId="82" fillId="0" borderId="0"/>
    <xf numFmtId="0" fontId="54" fillId="2" borderId="22" applyNumberFormat="0" applyAlignment="0" applyProtection="0">
      <alignment vertical="center"/>
    </xf>
    <xf numFmtId="190" fontId="82" fillId="0" borderId="0"/>
    <xf numFmtId="0" fontId="82" fillId="0" borderId="0"/>
    <xf numFmtId="0" fontId="82" fillId="0" borderId="0"/>
    <xf numFmtId="0" fontId="82" fillId="0" borderId="0"/>
    <xf numFmtId="0" fontId="8" fillId="0" borderId="0"/>
    <xf numFmtId="0" fontId="8" fillId="0" borderId="0"/>
    <xf numFmtId="183" fontId="82" fillId="0" borderId="0"/>
    <xf numFmtId="199" fontId="8" fillId="0" borderId="0">
      <alignment vertical="top"/>
    </xf>
    <xf numFmtId="0" fontId="0" fillId="0" borderId="0">
      <alignment vertical="center"/>
    </xf>
    <xf numFmtId="0" fontId="8" fillId="0" borderId="0"/>
    <xf numFmtId="190" fontId="8" fillId="0" borderId="0" applyNumberFormat="0" applyFont="0" applyFill="0" applyBorder="0" applyAlignment="0" applyProtection="0"/>
    <xf numFmtId="199" fontId="8" fillId="0" borderId="0">
      <alignment vertical="top"/>
    </xf>
    <xf numFmtId="190" fontId="82" fillId="0" borderId="0"/>
    <xf numFmtId="183" fontId="54" fillId="2" borderId="22" applyNumberFormat="0" applyAlignment="0" applyProtection="0">
      <alignment vertical="center"/>
    </xf>
    <xf numFmtId="0" fontId="8" fillId="0" borderId="0"/>
    <xf numFmtId="0" fontId="54" fillId="2" borderId="22" applyNumberFormat="0" applyAlignment="0" applyProtection="0">
      <alignment vertical="center"/>
    </xf>
    <xf numFmtId="0" fontId="8" fillId="0" borderId="0"/>
    <xf numFmtId="0" fontId="8" fillId="0" borderId="0"/>
    <xf numFmtId="0" fontId="8" fillId="0" borderId="0"/>
    <xf numFmtId="183" fontId="82" fillId="0" borderId="0"/>
    <xf numFmtId="190" fontId="8" fillId="0" borderId="0" applyNumberFormat="0" applyFont="0" applyFill="0" applyBorder="0" applyAlignment="0" applyProtection="0"/>
    <xf numFmtId="0" fontId="8" fillId="0" borderId="0">
      <alignment vertical="top"/>
    </xf>
    <xf numFmtId="183" fontId="40" fillId="4" borderId="0" applyNumberFormat="0" applyBorder="0" applyAlignment="0" applyProtection="0">
      <alignment vertical="center"/>
    </xf>
    <xf numFmtId="183" fontId="82" fillId="0" borderId="0"/>
    <xf numFmtId="191" fontId="82" fillId="0" borderId="0"/>
    <xf numFmtId="183" fontId="82" fillId="0" borderId="0"/>
    <xf numFmtId="199" fontId="82" fillId="0" borderId="0"/>
    <xf numFmtId="183" fontId="82" fillId="0" borderId="0"/>
    <xf numFmtId="0" fontId="82" fillId="0" borderId="0"/>
    <xf numFmtId="0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83" fontId="92" fillId="0" borderId="0">
      <alignment vertical="center"/>
    </xf>
    <xf numFmtId="190" fontId="82" fillId="0" borderId="0"/>
    <xf numFmtId="183" fontId="92" fillId="0" borderId="0">
      <alignment vertical="center"/>
    </xf>
    <xf numFmtId="190" fontId="8" fillId="0" borderId="0"/>
    <xf numFmtId="190" fontId="8" fillId="0" borderId="0"/>
    <xf numFmtId="199" fontId="8" fillId="0" borderId="0">
      <alignment vertical="top"/>
    </xf>
    <xf numFmtId="190" fontId="8" fillId="0" borderId="0"/>
    <xf numFmtId="190" fontId="8" fillId="0" borderId="0"/>
    <xf numFmtId="190" fontId="8" fillId="0" borderId="0"/>
    <xf numFmtId="0" fontId="82" fillId="0" borderId="0"/>
    <xf numFmtId="183" fontId="92" fillId="0" borderId="0">
      <alignment vertical="center"/>
    </xf>
    <xf numFmtId="0" fontId="8" fillId="0" borderId="0">
      <alignment vertical="top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199" fontId="8" fillId="0" borderId="0"/>
    <xf numFmtId="190" fontId="55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199" fontId="8" fillId="0" borderId="0"/>
    <xf numFmtId="0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0" fontId="8" fillId="0" borderId="0"/>
    <xf numFmtId="0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190" fontId="82" fillId="0" borderId="0"/>
    <xf numFmtId="183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190" fontId="8" fillId="0" borderId="0"/>
    <xf numFmtId="183" fontId="69" fillId="12" borderId="21" applyNumberFormat="0" applyAlignment="0" applyProtection="0">
      <alignment vertical="center"/>
    </xf>
    <xf numFmtId="0" fontId="8" fillId="0" borderId="0">
      <alignment vertical="top"/>
    </xf>
    <xf numFmtId="0" fontId="69" fillId="12" borderId="21" applyNumberFormat="0" applyAlignment="0" applyProtection="0">
      <alignment vertical="center"/>
    </xf>
    <xf numFmtId="183" fontId="92" fillId="0" borderId="0">
      <alignment vertical="center"/>
    </xf>
    <xf numFmtId="0" fontId="69" fillId="12" borderId="21" applyNumberFormat="0" applyAlignment="0" applyProtection="0">
      <alignment vertical="center"/>
    </xf>
    <xf numFmtId="191" fontId="8" fillId="0" borderId="0"/>
    <xf numFmtId="0" fontId="0" fillId="0" borderId="0">
      <alignment vertical="center"/>
    </xf>
    <xf numFmtId="0" fontId="39" fillId="0" borderId="0">
      <alignment vertical="center"/>
    </xf>
    <xf numFmtId="191" fontId="8" fillId="0" borderId="0"/>
    <xf numFmtId="191" fontId="8" fillId="0" borderId="0"/>
    <xf numFmtId="0" fontId="82" fillId="0" borderId="0"/>
    <xf numFmtId="0" fontId="0" fillId="0" borderId="0">
      <alignment vertical="center"/>
    </xf>
    <xf numFmtId="183" fontId="39" fillId="0" borderId="0">
      <alignment vertical="center"/>
    </xf>
    <xf numFmtId="183" fontId="39" fillId="0" borderId="0">
      <alignment vertical="center"/>
    </xf>
    <xf numFmtId="183" fontId="39" fillId="0" borderId="0">
      <alignment vertical="center"/>
    </xf>
    <xf numFmtId="0" fontId="0" fillId="0" borderId="0">
      <alignment vertical="center"/>
    </xf>
    <xf numFmtId="199" fontId="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22" fillId="0" borderId="0">
      <alignment vertical="top"/>
    </xf>
    <xf numFmtId="183" fontId="22" fillId="0" borderId="0">
      <alignment vertical="top"/>
    </xf>
    <xf numFmtId="0" fontId="82" fillId="0" borderId="0"/>
    <xf numFmtId="0" fontId="0" fillId="0" borderId="0">
      <alignment vertical="center"/>
    </xf>
    <xf numFmtId="0" fontId="68" fillId="0" borderId="0"/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83" fontId="22" fillId="0" borderId="0">
      <alignment vertical="top"/>
    </xf>
    <xf numFmtId="0" fontId="0" fillId="0" borderId="0">
      <alignment vertical="center"/>
    </xf>
    <xf numFmtId="0" fontId="8" fillId="0" borderId="0"/>
    <xf numFmtId="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83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0" fontId="55" fillId="32" borderId="0" applyNumberFormat="0" applyBorder="0" applyAlignment="0" applyProtection="0">
      <alignment vertical="center"/>
    </xf>
    <xf numFmtId="0" fontId="8" fillId="0" borderId="0"/>
    <xf numFmtId="183" fontId="54" fillId="2" borderId="22" applyNumberFormat="0" applyAlignment="0" applyProtection="0">
      <alignment vertical="center"/>
    </xf>
    <xf numFmtId="183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190" fontId="8" fillId="0" borderId="0"/>
    <xf numFmtId="190" fontId="8" fillId="0" borderId="0"/>
    <xf numFmtId="0" fontId="8" fillId="0" borderId="0"/>
    <xf numFmtId="0" fontId="54" fillId="2" borderId="22" applyNumberFormat="0" applyAlignment="0" applyProtection="0">
      <alignment vertical="center"/>
    </xf>
    <xf numFmtId="183" fontId="8" fillId="0" borderId="0"/>
    <xf numFmtId="190" fontId="8" fillId="0" borderId="0"/>
    <xf numFmtId="190" fontId="8" fillId="0" borderId="0"/>
    <xf numFmtId="0" fontId="8" fillId="0" borderId="0"/>
    <xf numFmtId="190" fontId="8" fillId="0" borderId="0"/>
    <xf numFmtId="0" fontId="8" fillId="0" borderId="0"/>
    <xf numFmtId="0" fontId="8" fillId="0" borderId="0"/>
    <xf numFmtId="190" fontId="8" fillId="0" borderId="0"/>
    <xf numFmtId="0" fontId="0" fillId="0" borderId="0">
      <alignment vertical="center"/>
    </xf>
    <xf numFmtId="0" fontId="8" fillId="0" borderId="0"/>
    <xf numFmtId="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91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0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190" fontId="8" fillId="0" borderId="0"/>
    <xf numFmtId="0" fontId="8" fillId="0" borderId="0"/>
    <xf numFmtId="0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190" fontId="8" fillId="0" borderId="0"/>
    <xf numFmtId="0" fontId="8" fillId="0" borderId="0"/>
    <xf numFmtId="190" fontId="8" fillId="0" borderId="0"/>
    <xf numFmtId="0" fontId="8" fillId="0" borderId="0"/>
    <xf numFmtId="190" fontId="8" fillId="0" borderId="0" applyNumberFormat="0" applyFont="0" applyFill="0" applyBorder="0" applyAlignment="0" applyProtection="0"/>
    <xf numFmtId="190" fontId="8" fillId="0" borderId="0"/>
    <xf numFmtId="0" fontId="8" fillId="0" borderId="0"/>
    <xf numFmtId="0" fontId="0" fillId="0" borderId="0">
      <alignment vertical="center"/>
    </xf>
    <xf numFmtId="183" fontId="22" fillId="0" borderId="0">
      <alignment vertical="top"/>
    </xf>
    <xf numFmtId="190" fontId="54" fillId="2" borderId="22" applyNumberFormat="0" applyAlignment="0" applyProtection="0">
      <alignment vertical="center"/>
    </xf>
    <xf numFmtId="190" fontId="8" fillId="0" borderId="0"/>
    <xf numFmtId="190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183" fontId="22" fillId="0" borderId="0">
      <alignment vertical="top"/>
    </xf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90" fontId="8" fillId="0" borderId="0"/>
    <xf numFmtId="183" fontId="22" fillId="0" borderId="0">
      <alignment vertical="top"/>
    </xf>
    <xf numFmtId="0" fontId="0" fillId="0" borderId="0">
      <alignment vertical="center"/>
    </xf>
    <xf numFmtId="183" fontId="22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/>
    <xf numFmtId="190" fontId="8" fillId="0" borderId="0"/>
    <xf numFmtId="190" fontId="8" fillId="0" borderId="0"/>
    <xf numFmtId="183" fontId="22" fillId="0" borderId="0">
      <alignment vertical="top"/>
    </xf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0" fontId="54" fillId="2" borderId="22" applyNumberFormat="0" applyAlignment="0" applyProtection="0">
      <alignment vertical="center"/>
    </xf>
    <xf numFmtId="183" fontId="22" fillId="0" borderId="0">
      <alignment vertical="top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/>
    <xf numFmtId="190" fontId="8" fillId="0" borderId="0"/>
    <xf numFmtId="0" fontId="0" fillId="0" borderId="0">
      <alignment vertical="center"/>
    </xf>
    <xf numFmtId="183" fontId="39" fillId="0" borderId="0">
      <alignment vertical="center"/>
    </xf>
    <xf numFmtId="190" fontId="8" fillId="0" borderId="0"/>
    <xf numFmtId="183" fontId="39" fillId="0" borderId="0">
      <alignment vertical="center"/>
    </xf>
    <xf numFmtId="183" fontId="39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83" fontId="39" fillId="0" borderId="0">
      <alignment vertical="center"/>
    </xf>
    <xf numFmtId="183" fontId="39" fillId="0" borderId="0">
      <alignment vertical="center"/>
    </xf>
    <xf numFmtId="183" fontId="39" fillId="0" borderId="0">
      <alignment vertical="center"/>
    </xf>
    <xf numFmtId="0" fontId="0" fillId="0" borderId="0">
      <alignment vertical="center"/>
    </xf>
    <xf numFmtId="183" fontId="39" fillId="0" borderId="0">
      <alignment vertical="center"/>
    </xf>
    <xf numFmtId="0" fontId="8" fillId="0" borderId="0"/>
    <xf numFmtId="183" fontId="39" fillId="0" borderId="0">
      <alignment vertical="center"/>
    </xf>
    <xf numFmtId="183" fontId="8" fillId="0" borderId="0"/>
    <xf numFmtId="183" fontId="55" fillId="32" borderId="0" applyNumberFormat="0" applyBorder="0" applyAlignment="0" applyProtection="0">
      <alignment vertical="center"/>
    </xf>
    <xf numFmtId="191" fontId="8" fillId="0" borderId="0"/>
    <xf numFmtId="0" fontId="40" fillId="4" borderId="0" applyNumberFormat="0" applyBorder="0" applyAlignment="0" applyProtection="0">
      <alignment vertical="center"/>
    </xf>
    <xf numFmtId="199" fontId="8" fillId="0" borderId="0">
      <alignment vertical="top"/>
    </xf>
    <xf numFmtId="0" fontId="8" fillId="0" borderId="0"/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183" fontId="8" fillId="0" borderId="0"/>
    <xf numFmtId="0" fontId="8" fillId="0" borderId="0">
      <alignment vertical="top"/>
    </xf>
    <xf numFmtId="190" fontId="8" fillId="0" borderId="0" applyNumberFormat="0" applyFont="0" applyFill="0" applyBorder="0" applyAlignment="0" applyProtection="0"/>
    <xf numFmtId="191" fontId="8" fillId="0" borderId="0"/>
    <xf numFmtId="190" fontId="55" fillId="32" borderId="0" applyNumberFormat="0" applyBorder="0" applyAlignment="0" applyProtection="0">
      <alignment vertical="center"/>
    </xf>
    <xf numFmtId="190" fontId="8" fillId="0" borderId="0"/>
    <xf numFmtId="190" fontId="8" fillId="0" borderId="0"/>
    <xf numFmtId="190" fontId="8" fillId="0" borderId="0"/>
    <xf numFmtId="190" fontId="8" fillId="0" borderId="0"/>
    <xf numFmtId="0" fontId="8" fillId="0" borderId="0">
      <alignment vertical="center"/>
    </xf>
    <xf numFmtId="0" fontId="8" fillId="0" borderId="0">
      <alignment vertical="top"/>
    </xf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0" fontId="8" fillId="0" borderId="0"/>
    <xf numFmtId="0" fontId="8" fillId="0" borderId="0"/>
    <xf numFmtId="190" fontId="8" fillId="0" borderId="0"/>
    <xf numFmtId="190" fontId="8" fillId="0" borderId="0"/>
    <xf numFmtId="0" fontId="8" fillId="0" borderId="0">
      <alignment vertical="center"/>
    </xf>
    <xf numFmtId="190" fontId="8" fillId="0" borderId="0"/>
    <xf numFmtId="0" fontId="8" fillId="0" borderId="0">
      <alignment vertical="top"/>
    </xf>
    <xf numFmtId="0" fontId="54" fillId="2" borderId="22" applyNumberFormat="0" applyAlignment="0" applyProtection="0">
      <alignment vertical="center"/>
    </xf>
    <xf numFmtId="190" fontId="8" fillId="0" borderId="0"/>
    <xf numFmtId="190" fontId="8" fillId="0" borderId="0"/>
    <xf numFmtId="0" fontId="8" fillId="0" borderId="0">
      <alignment vertical="center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0" fillId="0" borderId="0">
      <alignment vertical="center"/>
    </xf>
    <xf numFmtId="0" fontId="8" fillId="0" borderId="0">
      <alignment vertical="top"/>
    </xf>
    <xf numFmtId="190" fontId="55" fillId="32" borderId="0" applyNumberFormat="0" applyBorder="0" applyAlignment="0" applyProtection="0">
      <alignment vertical="center"/>
    </xf>
    <xf numFmtId="0" fontId="8" fillId="0" borderId="0">
      <alignment vertical="top"/>
    </xf>
    <xf numFmtId="183" fontId="8" fillId="0" borderId="0">
      <alignment vertical="top"/>
    </xf>
    <xf numFmtId="0" fontId="8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/>
    <xf numFmtId="190" fontId="8" fillId="0" borderId="0"/>
    <xf numFmtId="190" fontId="8" fillId="0" borderId="0"/>
    <xf numFmtId="0" fontId="8" fillId="0" borderId="0">
      <alignment vertical="top"/>
    </xf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183" fontId="8" fillId="0" borderId="0">
      <alignment vertical="top"/>
    </xf>
    <xf numFmtId="19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/>
    <xf numFmtId="190" fontId="54" fillId="2" borderId="22" applyNumberFormat="0" applyAlignment="0" applyProtection="0">
      <alignment vertical="center"/>
    </xf>
    <xf numFmtId="190" fontId="8" fillId="0" borderId="0"/>
    <xf numFmtId="183" fontId="8" fillId="13" borderId="24" applyNumberFormat="0" applyFont="0" applyAlignment="0" applyProtection="0">
      <alignment vertical="center"/>
    </xf>
    <xf numFmtId="190" fontId="8" fillId="0" borderId="0"/>
    <xf numFmtId="183" fontId="8" fillId="0" borderId="0">
      <alignment vertical="top"/>
    </xf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183" fontId="8" fillId="0" borderId="0">
      <alignment vertical="top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/>
    <xf numFmtId="183" fontId="8" fillId="0" borderId="0">
      <alignment vertical="top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91" fontId="8" fillId="13" borderId="24" applyNumberFormat="0" applyFont="0" applyAlignment="0" applyProtection="0">
      <alignment vertical="center"/>
    </xf>
    <xf numFmtId="183" fontId="8" fillId="0" borderId="0">
      <alignment vertical="top"/>
    </xf>
    <xf numFmtId="0" fontId="80" fillId="0" borderId="36" applyNumberFormat="0" applyFill="0" applyAlignment="0" applyProtection="0">
      <alignment vertical="center"/>
    </xf>
    <xf numFmtId="190" fontId="8" fillId="0" borderId="0"/>
    <xf numFmtId="183" fontId="80" fillId="0" borderId="36" applyNumberFormat="0" applyFill="0" applyAlignment="0" applyProtection="0">
      <alignment vertical="center"/>
    </xf>
    <xf numFmtId="183" fontId="8" fillId="0" borderId="0">
      <alignment vertical="top"/>
    </xf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9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83" fontId="8" fillId="0" borderId="0"/>
    <xf numFmtId="191" fontId="8" fillId="0" borderId="0"/>
    <xf numFmtId="0" fontId="40" fillId="4" borderId="0" applyNumberFormat="0" applyBorder="0" applyAlignment="0" applyProtection="0">
      <alignment vertical="center"/>
    </xf>
    <xf numFmtId="226" fontId="8" fillId="0" borderId="0">
      <alignment vertical="top"/>
    </xf>
    <xf numFmtId="0" fontId="40" fillId="4" borderId="0" applyNumberFormat="0" applyBorder="0" applyAlignment="0" applyProtection="0">
      <alignment vertical="center"/>
    </xf>
    <xf numFmtId="191" fontId="8" fillId="0" borderId="0"/>
    <xf numFmtId="183" fontId="40" fillId="4" borderId="0" applyNumberFormat="0" applyBorder="0" applyAlignment="0" applyProtection="0">
      <alignment vertical="center"/>
    </xf>
    <xf numFmtId="191" fontId="8" fillId="0" borderId="0"/>
    <xf numFmtId="190" fontId="8" fillId="0" borderId="0" applyNumberFormat="0" applyFont="0" applyFill="0" applyBorder="0" applyAlignment="0" applyProtection="0"/>
    <xf numFmtId="0" fontId="39" fillId="0" borderId="0">
      <alignment vertical="center"/>
    </xf>
    <xf numFmtId="0" fontId="82" fillId="0" borderId="0"/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0" fontId="82" fillId="0" borderId="0"/>
    <xf numFmtId="0" fontId="0" fillId="0" borderId="0">
      <alignment vertical="center"/>
    </xf>
    <xf numFmtId="0" fontId="0" fillId="0" borderId="0">
      <alignment vertical="center"/>
    </xf>
    <xf numFmtId="0" fontId="82" fillId="0" borderId="0"/>
    <xf numFmtId="0" fontId="82" fillId="0" borderId="0"/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19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2" fillId="0" borderId="0"/>
    <xf numFmtId="0" fontId="0" fillId="0" borderId="0">
      <alignment vertical="center"/>
    </xf>
    <xf numFmtId="183" fontId="82" fillId="0" borderId="0"/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19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0" fillId="0" borderId="0">
      <alignment vertical="center"/>
    </xf>
    <xf numFmtId="191" fontId="69" fillId="12" borderId="21" applyNumberFormat="0" applyAlignment="0" applyProtection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69" fillId="12" borderId="2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2" fillId="0" borderId="0"/>
    <xf numFmtId="183" fontId="82" fillId="0" borderId="0"/>
    <xf numFmtId="190" fontId="55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190" fontId="0" fillId="0" borderId="0">
      <alignment vertical="center"/>
    </xf>
    <xf numFmtId="19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83" fontId="82" fillId="0" borderId="0"/>
    <xf numFmtId="183" fontId="82" fillId="0" borderId="0"/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40" fillId="27" borderId="0" applyNumberFormat="0" applyBorder="0" applyAlignment="0" applyProtection="0">
      <alignment vertical="center"/>
    </xf>
    <xf numFmtId="0" fontId="0" fillId="0" borderId="0">
      <alignment vertical="center"/>
    </xf>
    <xf numFmtId="19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190" fontId="54" fillId="2" borderId="22" applyNumberFormat="0" applyAlignment="0" applyProtection="0">
      <alignment vertical="center"/>
    </xf>
    <xf numFmtId="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43" fontId="11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43" fontId="11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43" fontId="118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43" fontId="8" fillId="0" borderId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183" fontId="8" fillId="0" borderId="0"/>
    <xf numFmtId="183" fontId="8" fillId="0" borderId="0"/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183" fontId="8" fillId="0" borderId="0"/>
    <xf numFmtId="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183" fontId="8" fillId="13" borderId="24" applyNumberFormat="0" applyFont="0" applyAlignment="0" applyProtection="0">
      <alignment vertical="center"/>
    </xf>
    <xf numFmtId="183" fontId="8" fillId="0" borderId="0"/>
    <xf numFmtId="183" fontId="8" fillId="0" borderId="0"/>
    <xf numFmtId="0" fontId="0" fillId="0" borderId="0">
      <alignment vertical="center"/>
    </xf>
    <xf numFmtId="183" fontId="8" fillId="0" borderId="0"/>
    <xf numFmtId="191" fontId="8" fillId="0" borderId="0"/>
    <xf numFmtId="0" fontId="40" fillId="4" borderId="0" applyNumberFormat="0" applyBorder="0" applyAlignment="0" applyProtection="0">
      <alignment vertical="center"/>
    </xf>
    <xf numFmtId="191" fontId="8" fillId="0" borderId="0"/>
    <xf numFmtId="191" fontId="8" fillId="0" borderId="0"/>
    <xf numFmtId="183" fontId="51" fillId="2" borderId="21" applyNumberFormat="0" applyAlignment="0" applyProtection="0">
      <alignment vertical="center"/>
    </xf>
    <xf numFmtId="0" fontId="8" fillId="0" borderId="0">
      <alignment vertical="center"/>
    </xf>
    <xf numFmtId="183" fontId="51" fillId="2" borderId="21" applyNumberFormat="0" applyAlignment="0" applyProtection="0">
      <alignment vertical="center"/>
    </xf>
    <xf numFmtId="0" fontId="8" fillId="0" borderId="0">
      <alignment vertical="center"/>
    </xf>
    <xf numFmtId="190" fontId="8" fillId="0" borderId="0" applyNumberFormat="0" applyFont="0" applyFill="0" applyBorder="0" applyAlignment="0" applyProtection="0"/>
    <xf numFmtId="0" fontId="8" fillId="0" borderId="0">
      <alignment vertical="center"/>
    </xf>
    <xf numFmtId="191" fontId="8" fillId="0" borderId="0"/>
    <xf numFmtId="0" fontId="82" fillId="0" borderId="0"/>
    <xf numFmtId="183" fontId="82" fillId="0" borderId="0"/>
    <xf numFmtId="0" fontId="0" fillId="0" borderId="0">
      <alignment vertical="center"/>
    </xf>
    <xf numFmtId="0" fontId="39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43" fontId="82" fillId="0" borderId="0" applyFont="0" applyFill="0" applyBorder="0" applyAlignment="0" applyProtection="0"/>
    <xf numFmtId="0" fontId="0" fillId="0" borderId="0">
      <alignment vertical="center"/>
    </xf>
    <xf numFmtId="190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44" fillId="10" borderId="18" applyNumberFormat="0" applyAlignment="0" applyProtection="0">
      <alignment vertical="center"/>
    </xf>
    <xf numFmtId="0" fontId="0" fillId="0" borderId="0">
      <alignment vertical="center"/>
    </xf>
    <xf numFmtId="183" fontId="44" fillId="10" borderId="18" applyNumberFormat="0" applyAlignment="0" applyProtection="0">
      <alignment vertical="center"/>
    </xf>
    <xf numFmtId="0" fontId="0" fillId="0" borderId="0">
      <alignment vertical="center"/>
    </xf>
    <xf numFmtId="0" fontId="44" fillId="10" borderId="18" applyNumberFormat="0" applyAlignment="0" applyProtection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44" fillId="10" borderId="18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183" fontId="55" fillId="32" borderId="0" applyNumberFormat="0" applyBorder="0" applyAlignment="0" applyProtection="0">
      <alignment vertical="center"/>
    </xf>
    <xf numFmtId="183" fontId="8" fillId="0" borderId="0"/>
    <xf numFmtId="0" fontId="0" fillId="0" borderId="0">
      <alignment vertical="center"/>
    </xf>
    <xf numFmtId="0" fontId="0" fillId="0" borderId="0">
      <alignment vertical="center"/>
    </xf>
    <xf numFmtId="183" fontId="8" fillId="0" borderId="0"/>
    <xf numFmtId="0" fontId="0" fillId="0" borderId="0">
      <alignment vertical="center"/>
    </xf>
    <xf numFmtId="190" fontId="55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183" fontId="8" fillId="0" borderId="0"/>
    <xf numFmtId="199" fontId="82" fillId="0" borderId="0"/>
    <xf numFmtId="183" fontId="8" fillId="0" borderId="0"/>
    <xf numFmtId="0" fontId="82" fillId="0" borderId="0"/>
    <xf numFmtId="0" fontId="82" fillId="0" borderId="0"/>
    <xf numFmtId="190" fontId="8" fillId="0" borderId="0" applyNumberFormat="0" applyFont="0" applyFill="0" applyBorder="0" applyAlignment="0" applyProtection="0"/>
    <xf numFmtId="0" fontId="82" fillId="0" borderId="0"/>
    <xf numFmtId="183" fontId="8" fillId="13" borderId="24" applyNumberFormat="0" applyFont="0" applyAlignment="0" applyProtection="0">
      <alignment vertical="center"/>
    </xf>
    <xf numFmtId="191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55" fillId="32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183" fontId="51" fillId="2" borderId="21" applyNumberFormat="0" applyAlignment="0" applyProtection="0">
      <alignment vertical="center"/>
    </xf>
    <xf numFmtId="0" fontId="8" fillId="0" borderId="0"/>
    <xf numFmtId="183" fontId="51" fillId="2" borderId="21" applyNumberFormat="0" applyAlignment="0" applyProtection="0">
      <alignment vertical="center"/>
    </xf>
    <xf numFmtId="0" fontId="8" fillId="0" borderId="0"/>
    <xf numFmtId="0" fontId="8" fillId="0" borderId="0"/>
    <xf numFmtId="190" fontId="51" fillId="2" borderId="21" applyNumberFormat="0" applyAlignment="0" applyProtection="0">
      <alignment vertical="center"/>
    </xf>
    <xf numFmtId="0" fontId="8" fillId="0" borderId="0"/>
    <xf numFmtId="183" fontId="8" fillId="0" borderId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83" fontId="8" fillId="0" borderId="0">
      <alignment vertical="center"/>
    </xf>
    <xf numFmtId="0" fontId="8" fillId="0" borderId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183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9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center"/>
    </xf>
    <xf numFmtId="0" fontId="0" fillId="0" borderId="0">
      <alignment vertical="center"/>
    </xf>
    <xf numFmtId="183" fontId="8" fillId="0" borderId="0">
      <alignment vertical="center"/>
    </xf>
    <xf numFmtId="0" fontId="8" fillId="0" borderId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183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8" fillId="0" borderId="0" applyNumberFormat="0" applyFont="0" applyFill="0" applyBorder="0" applyAlignment="0" applyProtection="0"/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0" fillId="0" borderId="0">
      <alignment vertical="center"/>
    </xf>
    <xf numFmtId="190" fontId="0" fillId="0" borderId="0">
      <alignment vertical="center"/>
    </xf>
    <xf numFmtId="0" fontId="22" fillId="0" borderId="0">
      <alignment vertical="top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221" fontId="0" fillId="0" borderId="0" applyFont="0" applyFill="0" applyBorder="0" applyAlignment="0" applyProtection="0">
      <alignment vertical="center"/>
    </xf>
    <xf numFmtId="191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center"/>
    </xf>
    <xf numFmtId="190" fontId="55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0" fontId="54" fillId="2" borderId="22" applyNumberFormat="0" applyAlignment="0" applyProtection="0">
      <alignment vertical="center"/>
    </xf>
    <xf numFmtId="0" fontId="0" fillId="0" borderId="0">
      <alignment vertical="center"/>
    </xf>
    <xf numFmtId="191" fontId="65" fillId="0" borderId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90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5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91" fontId="0" fillId="0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8" fillId="0" borderId="0">
      <alignment vertical="center"/>
    </xf>
    <xf numFmtId="183" fontId="40" fillId="4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0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>
      <alignment vertical="center"/>
    </xf>
    <xf numFmtId="0" fontId="8" fillId="0" borderId="0">
      <alignment vertical="center"/>
    </xf>
    <xf numFmtId="183" fontId="0" fillId="0" borderId="0">
      <alignment vertical="center"/>
    </xf>
    <xf numFmtId="183" fontId="54" fillId="2" borderId="22" applyNumberFormat="0" applyAlignment="0" applyProtection="0">
      <alignment vertical="center"/>
    </xf>
    <xf numFmtId="0" fontId="8" fillId="0" borderId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0" borderId="0">
      <alignment vertical="center"/>
    </xf>
    <xf numFmtId="0" fontId="55" fillId="32" borderId="0" applyNumberFormat="0" applyBorder="0" applyAlignment="0" applyProtection="0">
      <alignment vertical="center"/>
    </xf>
    <xf numFmtId="0" fontId="8" fillId="0" borderId="0">
      <alignment vertical="center"/>
    </xf>
    <xf numFmtId="0" fontId="40" fillId="4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9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191" fontId="8" fillId="0" borderId="0"/>
    <xf numFmtId="183" fontId="8" fillId="0" borderId="0">
      <protection locked="0"/>
    </xf>
    <xf numFmtId="0" fontId="8" fillId="0" borderId="0"/>
    <xf numFmtId="0" fontId="22" fillId="0" borderId="0">
      <alignment vertical="top"/>
    </xf>
    <xf numFmtId="0" fontId="22" fillId="0" borderId="0">
      <alignment vertical="top"/>
    </xf>
    <xf numFmtId="183" fontId="8" fillId="0" borderId="0"/>
    <xf numFmtId="190" fontId="8" fillId="0" borderId="0" applyNumberFormat="0" applyFont="0" applyFill="0" applyBorder="0" applyAlignment="0" applyProtection="0"/>
    <xf numFmtId="190" fontId="8" fillId="0" borderId="0"/>
    <xf numFmtId="183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183" fontId="54" fillId="2" borderId="22" applyNumberFormat="0" applyAlignment="0" applyProtection="0">
      <alignment vertical="center"/>
    </xf>
    <xf numFmtId="199" fontId="8" fillId="0" borderId="0">
      <alignment vertical="center"/>
    </xf>
    <xf numFmtId="0" fontId="54" fillId="2" borderId="22" applyNumberFormat="0" applyAlignment="0" applyProtection="0">
      <alignment vertical="center"/>
    </xf>
    <xf numFmtId="190" fontId="8" fillId="0" borderId="0"/>
    <xf numFmtId="183" fontId="8" fillId="0" borderId="0"/>
    <xf numFmtId="183" fontId="8" fillId="0" borderId="0"/>
    <xf numFmtId="190" fontId="8" fillId="0" borderId="0" applyNumberFormat="0" applyFont="0" applyFill="0" applyBorder="0" applyAlignment="0" applyProtection="0"/>
    <xf numFmtId="190" fontId="8" fillId="0" borderId="0"/>
    <xf numFmtId="0" fontId="51" fillId="2" borderId="21" applyNumberFormat="0" applyAlignment="0" applyProtection="0">
      <alignment vertical="center"/>
    </xf>
    <xf numFmtId="183" fontId="8" fillId="0" borderId="0"/>
    <xf numFmtId="183" fontId="54" fillId="2" borderId="22" applyNumberFormat="0" applyAlignment="0" applyProtection="0">
      <alignment vertical="center"/>
    </xf>
    <xf numFmtId="190" fontId="8" fillId="0" borderId="0"/>
    <xf numFmtId="0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22" fillId="0" borderId="0">
      <alignment vertical="top"/>
    </xf>
    <xf numFmtId="183" fontId="8" fillId="13" borderId="24" applyNumberFormat="0" applyFont="0" applyAlignment="0" applyProtection="0">
      <alignment vertical="center"/>
    </xf>
    <xf numFmtId="183" fontId="8" fillId="0" borderId="0"/>
    <xf numFmtId="190" fontId="54" fillId="2" borderId="22" applyNumberFormat="0" applyAlignment="0" applyProtection="0">
      <alignment vertical="center"/>
    </xf>
    <xf numFmtId="190" fontId="8" fillId="0" borderId="0"/>
    <xf numFmtId="190" fontId="54" fillId="2" borderId="22" applyNumberFormat="0" applyAlignment="0" applyProtection="0">
      <alignment vertical="center"/>
    </xf>
    <xf numFmtId="183" fontId="8" fillId="0" borderId="0"/>
    <xf numFmtId="183" fontId="54" fillId="2" borderId="22" applyNumberFormat="0" applyAlignment="0" applyProtection="0">
      <alignment vertical="center"/>
    </xf>
    <xf numFmtId="0" fontId="22" fillId="0" borderId="0">
      <alignment vertical="top"/>
    </xf>
    <xf numFmtId="183" fontId="8" fillId="13" borderId="24" applyNumberFormat="0" applyFont="0" applyAlignment="0" applyProtection="0">
      <alignment vertical="center"/>
    </xf>
    <xf numFmtId="0" fontId="22" fillId="0" borderId="0">
      <alignment vertical="top"/>
    </xf>
    <xf numFmtId="190" fontId="8" fillId="13" borderId="24" applyNumberFormat="0" applyFont="0" applyAlignment="0" applyProtection="0">
      <alignment vertical="center"/>
    </xf>
    <xf numFmtId="0" fontId="22" fillId="0" borderId="0">
      <alignment vertical="top"/>
    </xf>
    <xf numFmtId="183" fontId="8" fillId="13" borderId="24" applyNumberFormat="0" applyFont="0" applyAlignment="0" applyProtection="0">
      <alignment vertical="center"/>
    </xf>
    <xf numFmtId="183" fontId="0" fillId="0" borderId="0">
      <alignment vertical="center"/>
    </xf>
    <xf numFmtId="0" fontId="0" fillId="0" borderId="0">
      <alignment vertical="center"/>
    </xf>
    <xf numFmtId="0" fontId="79" fillId="0" borderId="0"/>
    <xf numFmtId="0" fontId="8" fillId="0" borderId="0"/>
    <xf numFmtId="183" fontId="8" fillId="0" borderId="0">
      <alignment vertical="top"/>
    </xf>
    <xf numFmtId="43" fontId="0" fillId="0" borderId="0" applyFont="0" applyFill="0" applyBorder="0" applyAlignment="0" applyProtection="0">
      <alignment vertical="center"/>
    </xf>
    <xf numFmtId="0" fontId="79" fillId="0" borderId="0"/>
    <xf numFmtId="199" fontId="8" fillId="0" borderId="0">
      <alignment vertical="center"/>
    </xf>
    <xf numFmtId="190" fontId="8" fillId="0" borderId="0" applyNumberFormat="0" applyFont="0" applyFill="0" applyBorder="0" applyAlignment="0" applyProtection="0"/>
    <xf numFmtId="190" fontId="8" fillId="0" borderId="0"/>
    <xf numFmtId="190" fontId="82" fillId="0" borderId="0"/>
    <xf numFmtId="190" fontId="8" fillId="0" borderId="0" applyNumberFormat="0" applyFont="0" applyFill="0" applyBorder="0" applyAlignment="0" applyProtection="0"/>
    <xf numFmtId="0" fontId="79" fillId="0" borderId="0"/>
    <xf numFmtId="190" fontId="8" fillId="0" borderId="0" applyNumberFormat="0" applyFont="0" applyFill="0" applyBorder="0" applyAlignment="0" applyProtection="0"/>
    <xf numFmtId="0" fontId="8" fillId="0" borderId="0">
      <alignment vertical="top"/>
    </xf>
    <xf numFmtId="190" fontId="54" fillId="2" borderId="22" applyNumberFormat="0" applyAlignment="0" applyProtection="0">
      <alignment vertical="center"/>
    </xf>
    <xf numFmtId="0" fontId="79" fillId="0" borderId="0"/>
    <xf numFmtId="0" fontId="79" fillId="0" borderId="0"/>
    <xf numFmtId="183" fontId="8" fillId="0" borderId="0">
      <alignment vertical="top"/>
    </xf>
    <xf numFmtId="0" fontId="8" fillId="0" borderId="0">
      <alignment vertical="center"/>
    </xf>
    <xf numFmtId="0" fontId="8" fillId="0" borderId="0"/>
    <xf numFmtId="0" fontId="40" fillId="41" borderId="0" applyNumberFormat="0" applyBorder="0" applyAlignment="0" applyProtection="0">
      <alignment vertical="center"/>
    </xf>
    <xf numFmtId="0" fontId="8" fillId="0" borderId="0"/>
    <xf numFmtId="0" fontId="119" fillId="0" borderId="0" applyNumberFormat="0" applyFill="0" applyBorder="0" applyAlignment="0" applyProtection="0">
      <alignment vertical="top"/>
      <protection locked="0"/>
    </xf>
    <xf numFmtId="199" fontId="119" fillId="0" borderId="0" applyNumberFormat="0" applyFill="0" applyBorder="0" applyAlignment="0" applyProtection="0">
      <alignment vertical="top"/>
      <protection locked="0"/>
    </xf>
    <xf numFmtId="183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5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9" fontId="8" fillId="0" borderId="0" applyNumberFormat="0" applyFont="0" applyFill="0" applyBorder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2" fillId="0" borderId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5" fillId="32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5" fillId="32" borderId="0" applyNumberFormat="0" applyBorder="0" applyAlignment="0" applyProtection="0">
      <alignment vertical="center"/>
    </xf>
    <xf numFmtId="191" fontId="55" fillId="3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" fontId="101" fillId="0" borderId="0" applyFont="0" applyFill="0" applyBorder="0" applyAlignment="0" applyProtection="0"/>
    <xf numFmtId="41" fontId="68" fillId="0" borderId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7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2" borderId="0" applyNumberFormat="0" applyBorder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1" fillId="0" borderId="25" applyNumberFormat="0" applyFill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9" fontId="71" fillId="0" borderId="0"/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0" fillId="0" borderId="36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1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1" fillId="0" borderId="25" applyNumberFormat="0" applyFill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90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183" fontId="61" fillId="0" borderId="25" applyNumberFormat="0" applyFill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" fontId="68" fillId="0" borderId="28" applyFill="0" applyProtection="0">
      <alignment horizont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0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51" fillId="2" borderId="21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83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83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83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4" fillId="10" borderId="18" applyNumberFormat="0" applyAlignment="0" applyProtection="0">
      <alignment vertical="center"/>
    </xf>
    <xf numFmtId="19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44" fillId="10" borderId="18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43" fontId="8" fillId="0" borderId="0" applyFont="0" applyFill="0" applyBorder="0" applyAlignment="0" applyProtection="0"/>
    <xf numFmtId="183" fontId="44" fillId="10" borderId="18" applyNumberFormat="0" applyAlignment="0" applyProtection="0">
      <alignment vertical="center"/>
    </xf>
    <xf numFmtId="183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4" fillId="10" borderId="18" applyNumberFormat="0" applyAlignment="0" applyProtection="0">
      <alignment vertical="center"/>
    </xf>
    <xf numFmtId="43" fontId="82" fillId="0" borderId="0" applyFont="0" applyFill="0" applyBorder="0" applyAlignment="0" applyProtection="0"/>
    <xf numFmtId="190" fontId="44" fillId="10" borderId="18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0" fontId="44" fillId="10" borderId="18" applyNumberFormat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0" fontId="12" fillId="0" borderId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91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183" fontId="58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58" fillId="0" borderId="0" applyNumberFormat="0" applyFill="0" applyBorder="0" applyAlignment="0" applyProtection="0">
      <alignment vertical="center"/>
    </xf>
    <xf numFmtId="0" fontId="85" fillId="0" borderId="28" applyNumberFormat="0" applyFill="0" applyProtection="0">
      <alignment horizontal="left"/>
    </xf>
    <xf numFmtId="183" fontId="85" fillId="0" borderId="28" applyNumberFormat="0" applyFill="0" applyProtection="0">
      <alignment horizontal="left"/>
    </xf>
    <xf numFmtId="0" fontId="85" fillId="0" borderId="28" applyNumberFormat="0" applyFill="0" applyProtection="0">
      <alignment horizontal="left"/>
    </xf>
    <xf numFmtId="0" fontId="69" fillId="12" borderId="21" applyNumberFormat="0" applyAlignment="0" applyProtection="0">
      <alignment vertical="center"/>
    </xf>
    <xf numFmtId="183" fontId="85" fillId="0" borderId="28" applyNumberFormat="0" applyFill="0" applyProtection="0">
      <alignment horizontal="left"/>
    </xf>
    <xf numFmtId="0" fontId="85" fillId="0" borderId="28" applyNumberFormat="0" applyFill="0" applyProtection="0">
      <alignment horizontal="left"/>
    </xf>
    <xf numFmtId="0" fontId="69" fillId="12" borderId="21" applyNumberFormat="0" applyAlignment="0" applyProtection="0">
      <alignment vertical="center"/>
    </xf>
    <xf numFmtId="191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183" fontId="85" fillId="0" borderId="28" applyNumberFormat="0" applyFill="0" applyProtection="0">
      <alignment horizontal="left"/>
    </xf>
    <xf numFmtId="0" fontId="85" fillId="0" borderId="28" applyNumberFormat="0" applyFill="0" applyProtection="0">
      <alignment horizontal="left"/>
    </xf>
    <xf numFmtId="0" fontId="69" fillId="12" borderId="21" applyNumberFormat="0" applyAlignment="0" applyProtection="0">
      <alignment vertical="center"/>
    </xf>
    <xf numFmtId="191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183" fontId="85" fillId="0" borderId="28" applyNumberFormat="0" applyFill="0" applyProtection="0">
      <alignment horizontal="left"/>
    </xf>
    <xf numFmtId="0" fontId="85" fillId="0" borderId="28" applyNumberFormat="0" applyFill="0" applyProtection="0">
      <alignment horizontal="left"/>
    </xf>
    <xf numFmtId="0" fontId="69" fillId="12" borderId="21" applyNumberFormat="0" applyAlignment="0" applyProtection="0">
      <alignment vertical="center"/>
    </xf>
    <xf numFmtId="183" fontId="85" fillId="0" borderId="28" applyNumberFormat="0" applyFill="0" applyProtection="0">
      <alignment horizontal="left"/>
    </xf>
    <xf numFmtId="0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85" fillId="0" borderId="28" applyNumberFormat="0" applyFill="0" applyProtection="0">
      <alignment horizontal="left"/>
    </xf>
    <xf numFmtId="191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5" fillId="0" borderId="28" applyNumberFormat="0" applyFill="0" applyProtection="0">
      <alignment horizontal="left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5" fillId="0" borderId="28" applyNumberFormat="0" applyFill="0" applyProtection="0">
      <alignment horizontal="left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90" fontId="91" fillId="0" borderId="0" applyNumberFormat="0" applyFill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1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91" fillId="0" borderId="0" applyNumberFormat="0" applyFill="0" applyBorder="0" applyAlignment="0" applyProtection="0">
      <alignment vertical="center"/>
    </xf>
    <xf numFmtId="183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91" fillId="0" borderId="0" applyNumberForma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91" fillId="0" borderId="0" applyNumberFormat="0" applyFill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9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43" fontId="12" fillId="0" borderId="0" applyFont="0" applyFill="0" applyBorder="0" applyAlignment="0" applyProtection="0"/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1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0" fillId="0" borderId="36" applyNumberFormat="0" applyFill="0" applyAlignment="0" applyProtection="0">
      <alignment vertical="center"/>
    </xf>
    <xf numFmtId="183" fontId="80" fillId="0" borderId="36" applyNumberFormat="0" applyFill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222" fontId="68" fillId="0" borderId="0" applyFont="0" applyFill="0" applyBorder="0" applyAlignment="0" applyProtection="0"/>
    <xf numFmtId="227" fontId="68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41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4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4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4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43" fontId="8" fillId="0" borderId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68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68" fillId="0" borderId="0" applyFont="0" applyFill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228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0" fontId="54" fillId="2" borderId="22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43" fontId="82" fillId="0" borderId="0" applyFont="0" applyFill="0" applyBorder="0" applyAlignment="0" applyProtection="0"/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43" fontId="82" fillId="0" borderId="0" applyFont="0" applyFill="0" applyBorder="0" applyAlignment="0" applyProtection="0"/>
    <xf numFmtId="0" fontId="54" fillId="2" borderId="22" applyNumberFormat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198" fontId="39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198" fontId="39" fillId="0" borderId="0" applyFont="0" applyFill="0" applyBorder="0" applyAlignment="0" applyProtection="0">
      <alignment vertical="center"/>
    </xf>
    <xf numFmtId="198" fontId="39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118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11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118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43" fontId="11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22" fillId="0" borderId="0" applyFont="0" applyFill="0" applyBorder="0" applyAlignment="0" applyProtection="0">
      <alignment vertical="top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3" fontId="8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1" fontId="8" fillId="0" borderId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221" fontId="39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0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1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190" fontId="40" fillId="63" borderId="0" applyNumberFormat="0" applyBorder="0" applyAlignment="0" applyProtection="0">
      <alignment vertical="center"/>
    </xf>
    <xf numFmtId="183" fontId="40" fillId="63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63" borderId="0" applyNumberFormat="0" applyBorder="0" applyAlignment="0" applyProtection="0">
      <alignment vertical="center"/>
    </xf>
    <xf numFmtId="0" fontId="40" fillId="63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4" fontId="68" fillId="0" borderId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191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190" fontId="40" fillId="4" borderId="0" applyNumberFormat="0" applyBorder="0" applyAlignment="0" applyProtection="0">
      <alignment vertical="center"/>
    </xf>
    <xf numFmtId="183" fontId="40" fillId="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191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40" fillId="41" borderId="0" applyNumberFormat="0" applyBorder="0" applyAlignment="0" applyProtection="0">
      <alignment vertical="center"/>
    </xf>
    <xf numFmtId="183" fontId="40" fillId="41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1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1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9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183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71" fillId="0" borderId="0"/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71" fillId="0" borderId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71" fillId="0" borderId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71" fillId="0" borderId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71" fillId="0" borderId="0"/>
    <xf numFmtId="190" fontId="40" fillId="42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71" fillId="0" borderId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183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91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42" borderId="0" applyNumberFormat="0" applyBorder="0" applyAlignment="0" applyProtection="0">
      <alignment vertical="center"/>
    </xf>
    <xf numFmtId="0" fontId="40" fillId="42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1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83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40" fillId="34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40" fillId="34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197" fontId="19" fillId="0" borderId="28" applyFill="0" applyProtection="0">
      <alignment horizontal="right"/>
    </xf>
    <xf numFmtId="197" fontId="19" fillId="0" borderId="28" applyFill="0" applyProtection="0">
      <alignment horizontal="right"/>
    </xf>
    <xf numFmtId="190" fontId="8" fillId="0" borderId="0" applyNumberFormat="0" applyFont="0" applyFill="0" applyBorder="0" applyAlignment="0" applyProtection="0"/>
    <xf numFmtId="0" fontId="68" fillId="0" borderId="5" applyNumberFormat="0" applyFill="0" applyProtection="0">
      <alignment horizontal="left"/>
    </xf>
    <xf numFmtId="183" fontId="68" fillId="0" borderId="5" applyNumberFormat="0" applyFill="0" applyProtection="0">
      <alignment horizontal="left"/>
    </xf>
    <xf numFmtId="191" fontId="68" fillId="0" borderId="5" applyNumberFormat="0" applyFill="0" applyProtection="0">
      <alignment horizontal="left"/>
    </xf>
    <xf numFmtId="0" fontId="68" fillId="0" borderId="5" applyNumberFormat="0" applyFill="0" applyProtection="0">
      <alignment horizontal="left"/>
    </xf>
    <xf numFmtId="183" fontId="68" fillId="0" borderId="5" applyNumberFormat="0" applyFill="0" applyProtection="0">
      <alignment horizontal="left"/>
    </xf>
    <xf numFmtId="190" fontId="8" fillId="0" borderId="0" applyNumberFormat="0" applyFont="0" applyFill="0" applyBorder="0" applyAlignment="0" applyProtection="0"/>
    <xf numFmtId="183" fontId="68" fillId="0" borderId="5" applyNumberFormat="0" applyFill="0" applyProtection="0">
      <alignment horizontal="left"/>
    </xf>
    <xf numFmtId="0" fontId="56" fillId="7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1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183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56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6" fillId="7" borderId="0" applyNumberFormat="0" applyBorder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0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91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90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54" fillId="2" borderId="22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1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1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0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83" fontId="69" fillId="12" borderId="21" applyNumberFormat="0" applyAlignment="0" applyProtection="0">
      <alignment vertical="center"/>
    </xf>
    <xf numFmtId="1" fontId="68" fillId="0" borderId="28" applyFill="0" applyProtection="0">
      <alignment horizontal="center"/>
    </xf>
    <xf numFmtId="229" fontId="8" fillId="0" borderId="0" applyFont="0" applyFill="0" applyBorder="0" applyAlignment="0" applyProtection="0"/>
    <xf numFmtId="183" fontId="71" fillId="0" borderId="0"/>
    <xf numFmtId="183" fontId="71" fillId="0" borderId="0"/>
    <xf numFmtId="0" fontId="71" fillId="0" borderId="0"/>
    <xf numFmtId="0" fontId="71" fillId="0" borderId="0"/>
    <xf numFmtId="183" fontId="71" fillId="0" borderId="0"/>
    <xf numFmtId="0" fontId="71" fillId="0" borderId="0"/>
    <xf numFmtId="0" fontId="71" fillId="0" borderId="0"/>
    <xf numFmtId="208" fontId="71" fillId="0" borderId="0"/>
    <xf numFmtId="208" fontId="71" fillId="0" borderId="0"/>
    <xf numFmtId="0" fontId="71" fillId="0" borderId="0"/>
    <xf numFmtId="191" fontId="71" fillId="0" borderId="0"/>
    <xf numFmtId="0" fontId="71" fillId="0" borderId="0"/>
    <xf numFmtId="183" fontId="71" fillId="0" borderId="0"/>
    <xf numFmtId="190" fontId="71" fillId="0" borderId="0"/>
    <xf numFmtId="183" fontId="71" fillId="0" borderId="0"/>
    <xf numFmtId="183" fontId="71" fillId="0" borderId="0"/>
    <xf numFmtId="190" fontId="8" fillId="0" borderId="0" applyNumberFormat="0" applyFont="0" applyFill="0" applyBorder="0" applyAlignment="0" applyProtection="0"/>
    <xf numFmtId="183" fontId="22" fillId="0" borderId="0">
      <alignment vertical="top"/>
    </xf>
    <xf numFmtId="199" fontId="22" fillId="0" borderId="0">
      <alignment vertical="top"/>
    </xf>
    <xf numFmtId="183" fontId="22" fillId="0" borderId="0">
      <alignment vertical="top"/>
    </xf>
    <xf numFmtId="183" fontId="22" fillId="0" borderId="0">
      <alignment vertical="top"/>
    </xf>
    <xf numFmtId="183" fontId="22" fillId="0" borderId="0">
      <alignment vertical="top"/>
    </xf>
    <xf numFmtId="0" fontId="8" fillId="0" borderId="0"/>
    <xf numFmtId="183" fontId="120" fillId="0" borderId="0"/>
    <xf numFmtId="40" fontId="81" fillId="0" borderId="0" applyFont="0" applyFill="0" applyBorder="0" applyAlignment="0" applyProtection="0"/>
    <xf numFmtId="38" fontId="81" fillId="0" borderId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1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1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13" borderId="24" applyNumberFormat="0" applyFont="0" applyAlignment="0" applyProtection="0">
      <alignment vertical="center"/>
    </xf>
    <xf numFmtId="183" fontId="8" fillId="13" borderId="24" applyNumberFormat="0" applyFont="0" applyAlignment="0" applyProtection="0">
      <alignment vertical="center"/>
    </xf>
    <xf numFmtId="190" fontId="8" fillId="0" borderId="0" applyNumberFormat="0" applyFont="0" applyFill="0" applyBorder="0" applyAlignment="0" applyProtection="0"/>
    <xf numFmtId="38" fontId="100" fillId="0" borderId="0" applyFont="0" applyFill="0" applyBorder="0" applyAlignment="0" applyProtection="0"/>
    <xf numFmtId="0" fontId="100" fillId="0" borderId="0" applyFont="0" applyFill="0" applyBorder="0" applyAlignment="0" applyProtection="0"/>
  </cellStyleXfs>
  <cellXfs count="389">
    <xf numFmtId="0" fontId="0" fillId="0" borderId="0" xfId="0">
      <alignment vertical="center"/>
    </xf>
    <xf numFmtId="0" fontId="1" fillId="0" borderId="0" xfId="12111" applyFont="1" applyFill="1" applyAlignment="1">
      <alignment vertical="center"/>
    </xf>
    <xf numFmtId="0" fontId="2" fillId="0" borderId="0" xfId="12111" applyFont="1" applyAlignment="1">
      <alignment vertical="center"/>
    </xf>
    <xf numFmtId="0" fontId="3" fillId="0" borderId="0" xfId="10286" applyFont="1" applyAlignment="1">
      <alignment vertical="center"/>
    </xf>
    <xf numFmtId="0" fontId="2" fillId="0" borderId="0" xfId="12111" applyFont="1" applyFill="1" applyAlignment="1">
      <alignment vertical="center"/>
    </xf>
    <xf numFmtId="0" fontId="2" fillId="0" borderId="0" xfId="12111" applyFont="1" applyFill="1" applyAlignment="1">
      <alignment horizontal="center" vertical="center"/>
    </xf>
    <xf numFmtId="0" fontId="4" fillId="0" borderId="0" xfId="12111" applyFont="1" applyFill="1" applyAlignment="1">
      <alignment vertical="center"/>
    </xf>
    <xf numFmtId="0" fontId="5" fillId="0" borderId="0" xfId="12111" applyFont="1" applyFill="1" applyAlignment="1">
      <alignment vertical="center"/>
    </xf>
    <xf numFmtId="0" fontId="6" fillId="0" borderId="0" xfId="12111" applyFont="1" applyFill="1" applyAlignment="1">
      <alignment vertical="center"/>
    </xf>
    <xf numFmtId="0" fontId="7" fillId="0" borderId="0" xfId="12111" applyFont="1" applyFill="1" applyAlignment="1">
      <alignment vertical="center"/>
    </xf>
    <xf numFmtId="0" fontId="8" fillId="0" borderId="0" xfId="12111" applyFont="1" applyFill="1" applyAlignment="1">
      <alignment vertical="center"/>
    </xf>
    <xf numFmtId="0" fontId="9" fillId="0" borderId="0" xfId="10286" applyFont="1" applyFill="1" applyAlignment="1">
      <alignment horizontal="left" vertical="center"/>
    </xf>
    <xf numFmtId="0" fontId="3" fillId="0" borderId="0" xfId="12398" applyFont="1" applyAlignment="1">
      <alignment vertical="center"/>
    </xf>
    <xf numFmtId="0" fontId="3" fillId="0" borderId="1" xfId="10286" applyFont="1" applyBorder="1" applyAlignment="1">
      <alignment vertical="center"/>
    </xf>
    <xf numFmtId="0" fontId="2" fillId="2" borderId="2" xfId="10286" applyFont="1" applyFill="1" applyBorder="1" applyAlignment="1">
      <alignment horizontal="center" vertical="center"/>
    </xf>
    <xf numFmtId="0" fontId="2" fillId="2" borderId="2" xfId="10286" applyFont="1" applyFill="1" applyBorder="1" applyAlignment="1">
      <alignment horizontal="center" vertical="center" wrapText="1"/>
    </xf>
    <xf numFmtId="0" fontId="3" fillId="2" borderId="2" xfId="10286" applyFont="1" applyFill="1" applyBorder="1" applyAlignment="1">
      <alignment horizontal="center" vertical="center" wrapText="1"/>
    </xf>
    <xf numFmtId="190" fontId="3" fillId="2" borderId="2" xfId="41" applyNumberFormat="1" applyFont="1" applyFill="1" applyBorder="1" applyAlignment="1">
      <alignment vertical="center" wrapText="1"/>
    </xf>
    <xf numFmtId="0" fontId="10" fillId="3" borderId="3" xfId="12398" applyFont="1" applyFill="1" applyBorder="1" applyAlignment="1">
      <alignment horizontal="left" vertical="center" wrapText="1"/>
    </xf>
    <xf numFmtId="0" fontId="10" fillId="0" borderId="3" xfId="13560" applyFont="1" applyFill="1" applyBorder="1" applyAlignment="1">
      <alignment horizontal="left" vertical="center" wrapText="1"/>
    </xf>
    <xf numFmtId="0" fontId="11" fillId="0" borderId="3" xfId="13560" applyFont="1" applyFill="1" applyBorder="1" applyAlignment="1">
      <alignment horizontal="left" vertical="center" wrapText="1"/>
    </xf>
    <xf numFmtId="43" fontId="12" fillId="0" borderId="2" xfId="41" applyFont="1" applyFill="1" applyBorder="1" applyAlignment="1">
      <alignment horizontal="center" vertical="center" wrapText="1"/>
    </xf>
    <xf numFmtId="0" fontId="10" fillId="3" borderId="4" xfId="12398" applyFont="1" applyFill="1" applyBorder="1" applyAlignment="1">
      <alignment horizontal="left" vertical="center" wrapText="1"/>
    </xf>
    <xf numFmtId="0" fontId="10" fillId="0" borderId="5" xfId="13560" applyFont="1" applyFill="1" applyBorder="1" applyAlignment="1">
      <alignment horizontal="left" vertical="center" wrapText="1"/>
    </xf>
    <xf numFmtId="0" fontId="10" fillId="0" borderId="4" xfId="13560" applyFont="1" applyFill="1" applyBorder="1" applyAlignment="1">
      <alignment horizontal="left" vertical="center" wrapText="1"/>
    </xf>
    <xf numFmtId="0" fontId="11" fillId="0" borderId="2" xfId="13560" applyFont="1" applyFill="1" applyBorder="1" applyAlignment="1">
      <alignment horizontal="left" vertical="center" wrapText="1"/>
    </xf>
    <xf numFmtId="0" fontId="10" fillId="0" borderId="2" xfId="13560" applyFont="1" applyFill="1" applyBorder="1" applyAlignment="1">
      <alignment horizontal="left" vertical="center" wrapText="1"/>
    </xf>
    <xf numFmtId="0" fontId="10" fillId="4" borderId="3" xfId="12398" applyFont="1" applyFill="1" applyBorder="1" applyAlignment="1">
      <alignment horizontal="left" vertical="center" wrapText="1"/>
    </xf>
    <xf numFmtId="0" fontId="10" fillId="4" borderId="4" xfId="12398" applyFont="1" applyFill="1" applyBorder="1" applyAlignment="1">
      <alignment horizontal="left" vertical="center" wrapText="1"/>
    </xf>
    <xf numFmtId="0" fontId="10" fillId="5" borderId="3" xfId="12398" applyFont="1" applyFill="1" applyBorder="1" applyAlignment="1">
      <alignment horizontal="left" vertical="center" wrapText="1"/>
    </xf>
    <xf numFmtId="0" fontId="10" fillId="6" borderId="3" xfId="13560" applyFont="1" applyFill="1" applyBorder="1" applyAlignment="1">
      <alignment horizontal="left" vertical="center" wrapText="1"/>
    </xf>
    <xf numFmtId="0" fontId="10" fillId="5" borderId="4" xfId="12398" applyFont="1" applyFill="1" applyBorder="1" applyAlignment="1">
      <alignment horizontal="left" vertical="center" wrapText="1"/>
    </xf>
    <xf numFmtId="0" fontId="11" fillId="0" borderId="3" xfId="12398" applyFont="1" applyBorder="1" applyAlignment="1">
      <alignment horizontal="left" vertical="center" wrapText="1"/>
    </xf>
    <xf numFmtId="0" fontId="11" fillId="0" borderId="2" xfId="12398" applyFont="1" applyBorder="1" applyAlignment="1">
      <alignment horizontal="left" vertical="center" wrapText="1"/>
    </xf>
    <xf numFmtId="0" fontId="10" fillId="7" borderId="3" xfId="13560" applyFont="1" applyFill="1" applyBorder="1" applyAlignment="1">
      <alignment horizontal="left" vertical="center" wrapText="1"/>
    </xf>
    <xf numFmtId="0" fontId="11" fillId="7" borderId="3" xfId="12398" applyFont="1" applyFill="1" applyBorder="1" applyAlignment="1">
      <alignment horizontal="left" vertical="center" wrapText="1"/>
    </xf>
    <xf numFmtId="0" fontId="10" fillId="8" borderId="2" xfId="12398" applyFont="1" applyFill="1" applyBorder="1" applyAlignment="1">
      <alignment horizontal="left" vertical="center" wrapText="1"/>
    </xf>
    <xf numFmtId="0" fontId="10" fillId="0" borderId="3" xfId="13560" applyFont="1" applyBorder="1" applyAlignment="1">
      <alignment horizontal="left" vertical="center" wrapText="1"/>
    </xf>
    <xf numFmtId="0" fontId="10" fillId="0" borderId="4" xfId="13560" applyFont="1" applyBorder="1" applyAlignment="1">
      <alignment horizontal="left" vertical="center" wrapText="1"/>
    </xf>
    <xf numFmtId="0" fontId="10" fillId="0" borderId="5" xfId="13560" applyFont="1" applyBorder="1" applyAlignment="1">
      <alignment horizontal="left" vertical="center" wrapText="1"/>
    </xf>
    <xf numFmtId="0" fontId="10" fillId="0" borderId="2" xfId="13560" applyFont="1" applyBorder="1" applyAlignment="1">
      <alignment horizontal="left" vertical="center" wrapText="1"/>
    </xf>
    <xf numFmtId="0" fontId="10" fillId="9" borderId="2" xfId="12398" applyFont="1" applyFill="1" applyBorder="1" applyAlignment="1">
      <alignment horizontal="left" vertical="center" wrapText="1"/>
    </xf>
    <xf numFmtId="0" fontId="10" fillId="10" borderId="2" xfId="12398" applyFont="1" applyFill="1" applyBorder="1" applyAlignment="1">
      <alignment horizontal="left" vertical="center" wrapText="1"/>
    </xf>
    <xf numFmtId="0" fontId="10" fillId="6" borderId="2" xfId="13560" applyFont="1" applyFill="1" applyBorder="1" applyAlignment="1">
      <alignment horizontal="left" vertical="center" wrapText="1"/>
    </xf>
    <xf numFmtId="230" fontId="2" fillId="0" borderId="0" xfId="12111" applyNumberFormat="1" applyFont="1" applyAlignment="1">
      <alignment vertical="center"/>
    </xf>
    <xf numFmtId="0" fontId="3" fillId="0" borderId="2" xfId="12111" applyFont="1" applyFill="1" applyBorder="1" applyAlignment="1">
      <alignment horizontal="center" vertical="center"/>
    </xf>
    <xf numFmtId="43" fontId="12" fillId="0" borderId="2" xfId="15448" applyNumberFormat="1" applyFont="1" applyFill="1" applyBorder="1" applyAlignment="1">
      <alignment horizontal="right" vertical="center"/>
    </xf>
    <xf numFmtId="43" fontId="13" fillId="0" borderId="2" xfId="41" applyFont="1" applyFill="1" applyBorder="1" applyAlignment="1">
      <alignment horizontal="center" vertical="center"/>
    </xf>
    <xf numFmtId="43" fontId="2" fillId="0" borderId="0" xfId="12111" applyNumberFormat="1" applyFont="1" applyFill="1" applyAlignment="1">
      <alignment horizontal="center" vertical="center"/>
    </xf>
    <xf numFmtId="0" fontId="11" fillId="0" borderId="2" xfId="12398" applyFont="1" applyFill="1" applyBorder="1" applyAlignment="1">
      <alignment horizontal="left" vertical="center" wrapText="1"/>
    </xf>
    <xf numFmtId="0" fontId="10" fillId="11" borderId="2" xfId="12398" applyFont="1" applyFill="1" applyBorder="1" applyAlignment="1">
      <alignment horizontal="left" vertical="center" wrapText="1"/>
    </xf>
    <xf numFmtId="0" fontId="10" fillId="7" borderId="2" xfId="12398" applyFont="1" applyFill="1" applyBorder="1" applyAlignment="1">
      <alignment horizontal="left" vertical="center" wrapText="1"/>
    </xf>
    <xf numFmtId="0" fontId="10" fillId="12" borderId="2" xfId="12398" applyFont="1" applyFill="1" applyBorder="1" applyAlignment="1">
      <alignment horizontal="left" vertical="center" wrapText="1"/>
    </xf>
    <xf numFmtId="0" fontId="10" fillId="13" borderId="3" xfId="12398" applyFont="1" applyFill="1" applyBorder="1" applyAlignment="1">
      <alignment horizontal="left" vertical="center" wrapText="1"/>
    </xf>
    <xf numFmtId="0" fontId="10" fillId="13" borderId="4" xfId="12398" applyFont="1" applyFill="1" applyBorder="1" applyAlignment="1">
      <alignment horizontal="left" vertical="center" wrapText="1"/>
    </xf>
    <xf numFmtId="0" fontId="11" fillId="0" borderId="5" xfId="12398" applyFont="1" applyBorder="1" applyAlignment="1">
      <alignment horizontal="left" vertical="center" wrapText="1"/>
    </xf>
    <xf numFmtId="0" fontId="10" fillId="13" borderId="5" xfId="12398" applyFont="1" applyFill="1" applyBorder="1" applyAlignment="1">
      <alignment horizontal="left" vertical="center" wrapText="1"/>
    </xf>
    <xf numFmtId="1" fontId="2" fillId="0" borderId="2" xfId="10286" applyNumberFormat="1" applyFont="1" applyFill="1" applyBorder="1" applyAlignment="1">
      <alignment horizontal="center" vertical="center"/>
    </xf>
    <xf numFmtId="43" fontId="13" fillId="0" borderId="2" xfId="41" applyFont="1" applyFill="1" applyBorder="1" applyAlignment="1">
      <alignment horizontal="center" vertical="center" wrapText="1"/>
    </xf>
    <xf numFmtId="1" fontId="5" fillId="0" borderId="2" xfId="10286" applyNumberFormat="1" applyFont="1" applyFill="1" applyBorder="1" applyAlignment="1">
      <alignment horizontal="center" vertical="center"/>
    </xf>
    <xf numFmtId="226" fontId="5" fillId="0" borderId="2" xfId="10286" applyNumberFormat="1" applyFont="1" applyFill="1" applyBorder="1" applyAlignment="1">
      <alignment horizontal="center" vertical="center"/>
    </xf>
    <xf numFmtId="1" fontId="5" fillId="0" borderId="6" xfId="10286" applyNumberFormat="1" applyFont="1" applyFill="1" applyBorder="1" applyAlignment="1">
      <alignment horizontal="center" vertical="center"/>
    </xf>
    <xf numFmtId="1" fontId="5" fillId="0" borderId="7" xfId="10286" applyNumberFormat="1" applyFont="1" applyFill="1" applyBorder="1" applyAlignment="1">
      <alignment horizontal="center" vertical="center"/>
    </xf>
    <xf numFmtId="1" fontId="5" fillId="0" borderId="8" xfId="10286" applyNumberFormat="1" applyFont="1" applyFill="1" applyBorder="1" applyAlignment="1">
      <alignment horizontal="center" vertical="center"/>
    </xf>
    <xf numFmtId="231" fontId="7" fillId="0" borderId="0" xfId="12111" applyNumberFormat="1" applyFont="1" applyFill="1" applyAlignment="1">
      <alignment vertical="center"/>
    </xf>
    <xf numFmtId="10" fontId="7" fillId="0" borderId="0" xfId="10345" applyNumberFormat="1" applyFont="1" applyFill="1" applyAlignment="1">
      <alignment vertical="center"/>
    </xf>
    <xf numFmtId="231" fontId="8" fillId="0" borderId="0" xfId="12111" applyNumberFormat="1" applyFont="1" applyFill="1" applyAlignment="1">
      <alignment vertical="center"/>
    </xf>
    <xf numFmtId="10" fontId="7" fillId="0" borderId="0" xfId="10345" applyNumberFormat="1" applyFont="1" applyFill="1" applyAlignment="1">
      <alignment horizontal="center" vertical="center"/>
    </xf>
    <xf numFmtId="43" fontId="8" fillId="0" borderId="0" xfId="12111" applyNumberFormat="1" applyFont="1" applyFill="1" applyAlignment="1">
      <alignment vertical="center"/>
    </xf>
    <xf numFmtId="0" fontId="9" fillId="0" borderId="0" xfId="10286" applyFont="1" applyFill="1" applyAlignment="1">
      <alignment horizontal="center" vertical="center"/>
    </xf>
    <xf numFmtId="226" fontId="5" fillId="0" borderId="0" xfId="12111" applyNumberFormat="1" applyFont="1" applyFill="1" applyAlignment="1">
      <alignment vertical="center"/>
    </xf>
    <xf numFmtId="0" fontId="14" fillId="0" borderId="0" xfId="12111" applyFont="1" applyFill="1" applyAlignment="1">
      <alignment vertical="center"/>
    </xf>
    <xf numFmtId="0" fontId="2" fillId="0" borderId="0" xfId="13563" applyFont="1" applyAlignment="1">
      <alignment vertical="center"/>
    </xf>
    <xf numFmtId="0" fontId="3" fillId="0" borderId="0" xfId="10286" applyFont="1" applyAlignment="1">
      <alignment horizontal="center" vertical="center"/>
    </xf>
    <xf numFmtId="43" fontId="13" fillId="0" borderId="2" xfId="15448" applyNumberFormat="1" applyFont="1" applyFill="1" applyBorder="1" applyAlignment="1">
      <alignment horizontal="right" vertical="center"/>
    </xf>
    <xf numFmtId="43" fontId="7" fillId="0" borderId="0" xfId="12111" applyNumberFormat="1" applyFont="1" applyFill="1" applyAlignment="1">
      <alignment vertical="center"/>
    </xf>
    <xf numFmtId="43" fontId="12" fillId="0" borderId="2" xfId="15337" applyNumberFormat="1" applyFont="1" applyFill="1" applyBorder="1" applyAlignment="1">
      <alignment horizontal="right" vertical="center"/>
    </xf>
    <xf numFmtId="43" fontId="15" fillId="0" borderId="2" xfId="15337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43" fontId="8" fillId="0" borderId="0" xfId="41" applyFont="1" applyFill="1" applyAlignment="1">
      <alignment vertical="center"/>
    </xf>
    <xf numFmtId="0" fontId="16" fillId="0" borderId="0" xfId="10286" applyFont="1" applyFill="1" applyAlignment="1">
      <alignment horizontal="left" vertical="center"/>
    </xf>
    <xf numFmtId="43" fontId="16" fillId="0" borderId="0" xfId="41" applyFont="1" applyFill="1" applyAlignment="1">
      <alignment horizontal="left" vertical="center"/>
    </xf>
    <xf numFmtId="14" fontId="2" fillId="0" borderId="0" xfId="0" applyNumberFormat="1" applyFont="1" applyAlignment="1">
      <alignment vertical="center"/>
    </xf>
    <xf numFmtId="43" fontId="2" fillId="0" borderId="0" xfId="41" applyFont="1" applyAlignment="1">
      <alignment vertical="center"/>
    </xf>
    <xf numFmtId="43" fontId="3" fillId="0" borderId="0" xfId="10286" applyNumberFormat="1" applyFont="1" applyAlignment="1">
      <alignment vertical="center"/>
    </xf>
    <xf numFmtId="43" fontId="17" fillId="0" borderId="0" xfId="41" applyFont="1" applyFill="1" applyAlignment="1">
      <alignment horizontal="center" vertical="center"/>
    </xf>
    <xf numFmtId="43" fontId="12" fillId="0" borderId="2" xfId="15463" applyNumberFormat="1" applyFont="1" applyFill="1" applyBorder="1" applyAlignment="1">
      <alignment horizontal="right" vertical="center"/>
    </xf>
    <xf numFmtId="43" fontId="7" fillId="0" borderId="0" xfId="10345" applyNumberFormat="1" applyFont="1" applyFill="1" applyAlignment="1">
      <alignment vertical="center"/>
    </xf>
    <xf numFmtId="43" fontId="8" fillId="0" borderId="0" xfId="15463" applyFont="1" applyFill="1" applyAlignment="1">
      <alignment vertical="center"/>
    </xf>
    <xf numFmtId="0" fontId="8" fillId="0" borderId="0" xfId="12111" applyFont="1" applyFill="1" applyAlignment="1">
      <alignment horizontal="center" vertical="center"/>
    </xf>
    <xf numFmtId="43" fontId="5" fillId="0" borderId="0" xfId="12111" applyNumberFormat="1" applyFont="1" applyFill="1" applyAlignment="1">
      <alignment vertical="center"/>
    </xf>
    <xf numFmtId="0" fontId="17" fillId="0" borderId="2" xfId="13560" applyFont="1" applyFill="1" applyBorder="1" applyAlignment="1">
      <alignment horizontal="left" vertical="center" wrapText="1"/>
    </xf>
    <xf numFmtId="1" fontId="5" fillId="0" borderId="6" xfId="7721" applyNumberFormat="1" applyFont="1" applyFill="1" applyBorder="1" applyAlignment="1">
      <alignment horizontal="center" vertical="center"/>
    </xf>
    <xf numFmtId="1" fontId="5" fillId="0" borderId="7" xfId="7721" applyNumberFormat="1" applyFont="1" applyFill="1" applyBorder="1" applyAlignment="1">
      <alignment horizontal="center" vertical="center"/>
    </xf>
    <xf numFmtId="1" fontId="5" fillId="0" borderId="8" xfId="7721" applyNumberFormat="1" applyFont="1" applyFill="1" applyBorder="1" applyAlignment="1">
      <alignment horizontal="center" vertical="center"/>
    </xf>
    <xf numFmtId="4" fontId="8" fillId="0" borderId="0" xfId="12111" applyNumberFormat="1" applyFont="1" applyFill="1" applyAlignment="1">
      <alignment vertical="center"/>
    </xf>
    <xf numFmtId="57" fontId="3" fillId="2" borderId="2" xfId="10286" applyNumberFormat="1" applyFont="1" applyFill="1" applyBorder="1" applyAlignment="1">
      <alignment horizontal="center" vertical="center" wrapText="1"/>
    </xf>
    <xf numFmtId="10" fontId="13" fillId="0" borderId="2" xfId="10286" applyNumberFormat="1" applyFont="1" applyFill="1" applyBorder="1" applyAlignment="1">
      <alignment horizontal="right" vertical="center"/>
    </xf>
    <xf numFmtId="10" fontId="5" fillId="0" borderId="2" xfId="12111" applyNumberFormat="1" applyFont="1" applyFill="1" applyBorder="1" applyAlignment="1">
      <alignment horizontal="center" vertical="center"/>
    </xf>
    <xf numFmtId="231" fontId="13" fillId="0" borderId="2" xfId="10286" applyNumberFormat="1" applyFont="1" applyFill="1" applyBorder="1" applyAlignment="1">
      <alignment horizontal="right" vertical="center"/>
    </xf>
    <xf numFmtId="43" fontId="4" fillId="0" borderId="0" xfId="41" applyFont="1" applyFill="1" applyAlignment="1">
      <alignment vertical="center"/>
    </xf>
    <xf numFmtId="0" fontId="7" fillId="0" borderId="2" xfId="12111" applyFont="1" applyFill="1" applyBorder="1" applyAlignment="1">
      <alignment vertical="center"/>
    </xf>
    <xf numFmtId="57" fontId="7" fillId="0" borderId="2" xfId="12111" applyNumberFormat="1" applyFont="1" applyFill="1" applyBorder="1" applyAlignment="1">
      <alignment vertical="center"/>
    </xf>
    <xf numFmtId="0" fontId="8" fillId="0" borderId="2" xfId="12111" applyFont="1" applyFill="1" applyBorder="1" applyAlignment="1">
      <alignment vertical="center"/>
    </xf>
    <xf numFmtId="0" fontId="8" fillId="0" borderId="2" xfId="12111" applyFont="1" applyFill="1" applyBorder="1" applyAlignment="1">
      <alignment horizontal="center" vertical="center"/>
    </xf>
    <xf numFmtId="0" fontId="18" fillId="0" borderId="2" xfId="12111" applyFont="1" applyFill="1" applyBorder="1" applyAlignment="1">
      <alignment vertical="center"/>
    </xf>
    <xf numFmtId="232" fontId="19" fillId="0" borderId="2" xfId="41" applyNumberFormat="1" applyFont="1" applyFill="1" applyBorder="1" applyAlignment="1">
      <alignment vertical="center"/>
    </xf>
    <xf numFmtId="232" fontId="19" fillId="0" borderId="2" xfId="41" applyNumberFormat="1" applyFont="1" applyFill="1" applyBorder="1" applyAlignment="1">
      <alignment horizontal="center" vertical="center" wrapText="1"/>
    </xf>
    <xf numFmtId="228" fontId="4" fillId="0" borderId="2" xfId="10286" applyNumberFormat="1" applyFont="1" applyFill="1" applyBorder="1" applyAlignment="1">
      <alignment vertical="center" wrapText="1"/>
    </xf>
    <xf numFmtId="43" fontId="7" fillId="0" borderId="0" xfId="41" applyFont="1" applyFill="1" applyAlignment="1">
      <alignment vertical="center"/>
    </xf>
    <xf numFmtId="0" fontId="20" fillId="0" borderId="2" xfId="12111" applyFont="1" applyFill="1" applyBorder="1" applyAlignment="1">
      <alignment horizontal="center" vertical="center"/>
    </xf>
    <xf numFmtId="43" fontId="8" fillId="0" borderId="2" xfId="12111" applyNumberFormat="1" applyFont="1" applyFill="1" applyBorder="1" applyAlignment="1">
      <alignment vertical="center"/>
    </xf>
    <xf numFmtId="232" fontId="21" fillId="0" borderId="2" xfId="41" applyNumberFormat="1" applyFont="1" applyFill="1" applyBorder="1" applyAlignment="1">
      <alignment horizontal="center" vertical="center"/>
    </xf>
    <xf numFmtId="226" fontId="1" fillId="0" borderId="0" xfId="12111" applyNumberFormat="1" applyFont="1" applyFill="1" applyAlignment="1">
      <alignment vertical="center"/>
    </xf>
    <xf numFmtId="226" fontId="2" fillId="0" borderId="0" xfId="12111" applyNumberFormat="1" applyFont="1" applyAlignment="1">
      <alignment vertical="center"/>
    </xf>
    <xf numFmtId="0" fontId="3" fillId="0" borderId="0" xfId="2243" applyFont="1" applyAlignment="1">
      <alignment vertical="center"/>
    </xf>
    <xf numFmtId="226" fontId="3" fillId="0" borderId="0" xfId="2243" applyNumberFormat="1" applyFont="1" applyAlignment="1">
      <alignment vertical="center"/>
    </xf>
    <xf numFmtId="226" fontId="2" fillId="0" borderId="0" xfId="2243" applyNumberFormat="1" applyFont="1" applyAlignment="1">
      <alignment vertical="center"/>
    </xf>
    <xf numFmtId="226" fontId="4" fillId="0" borderId="0" xfId="2243" applyNumberFormat="1" applyFont="1" applyAlignment="1">
      <alignment vertical="center"/>
    </xf>
    <xf numFmtId="226" fontId="22" fillId="0" borderId="0" xfId="2243" applyNumberFormat="1" applyFont="1" applyAlignment="1">
      <alignment vertical="center"/>
    </xf>
    <xf numFmtId="226" fontId="16" fillId="0" borderId="0" xfId="10286" applyNumberFormat="1" applyFont="1" applyFill="1" applyAlignment="1">
      <alignment horizontal="left" vertical="center"/>
    </xf>
    <xf numFmtId="0" fontId="2" fillId="0" borderId="0" xfId="2243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26" fontId="3" fillId="2" borderId="2" xfId="10286" applyNumberFormat="1" applyFont="1" applyFill="1" applyBorder="1" applyAlignment="1">
      <alignment horizontal="center" vertical="center"/>
    </xf>
    <xf numFmtId="226" fontId="8" fillId="0" borderId="2" xfId="13561" applyNumberFormat="1" applyBorder="1" applyAlignment="1">
      <alignment horizontal="center" vertical="center"/>
    </xf>
    <xf numFmtId="226" fontId="4" fillId="0" borderId="2" xfId="13561" applyNumberFormat="1" applyFont="1" applyBorder="1" applyAlignment="1">
      <alignment horizontal="center" vertical="center"/>
    </xf>
    <xf numFmtId="226" fontId="3" fillId="0" borderId="6" xfId="10286" applyNumberFormat="1" applyFont="1" applyFill="1" applyBorder="1" applyAlignment="1">
      <alignment horizontal="center" vertical="center"/>
    </xf>
    <xf numFmtId="226" fontId="3" fillId="0" borderId="8" xfId="10286" applyNumberFormat="1" applyFont="1" applyFill="1" applyBorder="1" applyAlignment="1">
      <alignment horizontal="center" vertical="center"/>
    </xf>
    <xf numFmtId="226" fontId="12" fillId="0" borderId="0" xfId="2243" applyNumberFormat="1" applyFont="1" applyAlignment="1">
      <alignment vertical="center"/>
    </xf>
    <xf numFmtId="231" fontId="12" fillId="0" borderId="0" xfId="2243" applyNumberFormat="1" applyFont="1" applyAlignment="1">
      <alignment vertical="center"/>
    </xf>
    <xf numFmtId="226" fontId="4" fillId="0" borderId="0" xfId="10286" applyNumberFormat="1" applyFont="1" applyFill="1" applyBorder="1" applyAlignment="1">
      <alignment vertical="center"/>
    </xf>
    <xf numFmtId="226" fontId="12" fillId="0" borderId="0" xfId="2243" applyNumberFormat="1" applyFont="1" applyAlignment="1">
      <alignment horizontal="center" vertical="center"/>
    </xf>
    <xf numFmtId="43" fontId="12" fillId="0" borderId="0" xfId="41" applyFont="1" applyAlignment="1">
      <alignment vertical="center"/>
    </xf>
    <xf numFmtId="231" fontId="22" fillId="0" borderId="0" xfId="2243" applyNumberFormat="1" applyFont="1" applyAlignment="1">
      <alignment vertical="center"/>
    </xf>
    <xf numFmtId="0" fontId="3" fillId="0" borderId="1" xfId="0" applyFont="1" applyBorder="1" applyAlignment="1">
      <alignment horizontal="right" vertical="center"/>
    </xf>
    <xf numFmtId="226" fontId="13" fillId="0" borderId="0" xfId="2243" applyNumberFormat="1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226" fontId="3" fillId="0" borderId="0" xfId="10286" applyNumberFormat="1" applyFont="1" applyAlignment="1">
      <alignment vertical="center"/>
    </xf>
    <xf numFmtId="226" fontId="2" fillId="0" borderId="0" xfId="10286" applyNumberFormat="1" applyFont="1" applyAlignment="1">
      <alignment vertical="center"/>
    </xf>
    <xf numFmtId="226" fontId="4" fillId="0" borderId="0" xfId="10286" applyNumberFormat="1" applyFont="1" applyAlignment="1">
      <alignment vertical="center"/>
    </xf>
    <xf numFmtId="226" fontId="22" fillId="0" borderId="0" xfId="10286" applyNumberFormat="1" applyFont="1" applyAlignment="1">
      <alignment vertical="center"/>
    </xf>
    <xf numFmtId="226" fontId="9" fillId="0" borderId="0" xfId="10286" applyNumberFormat="1" applyFont="1" applyFill="1" applyAlignment="1">
      <alignment horizontal="center" vertical="center"/>
    </xf>
    <xf numFmtId="226" fontId="12" fillId="0" borderId="0" xfId="10286" applyNumberFormat="1" applyFont="1" applyAlignment="1">
      <alignment vertical="center"/>
    </xf>
    <xf numFmtId="226" fontId="12" fillId="0" borderId="0" xfId="10286" applyNumberFormat="1" applyFont="1" applyAlignment="1">
      <alignment horizontal="center" vertical="center"/>
    </xf>
    <xf numFmtId="226" fontId="8" fillId="0" borderId="0" xfId="12398" applyNumberFormat="1" applyAlignment="1"/>
    <xf numFmtId="226" fontId="13" fillId="0" borderId="0" xfId="10286" applyNumberFormat="1" applyFont="1" applyAlignment="1">
      <alignment vertical="center"/>
    </xf>
    <xf numFmtId="226" fontId="3" fillId="0" borderId="0" xfId="0" applyNumberFormat="1" applyFont="1" applyFill="1" applyAlignment="1">
      <alignment vertical="center"/>
    </xf>
    <xf numFmtId="226" fontId="3" fillId="0" borderId="0" xfId="0" applyNumberFormat="1" applyFont="1" applyAlignment="1">
      <alignment vertical="center"/>
    </xf>
    <xf numFmtId="226" fontId="2" fillId="0" borderId="0" xfId="0" applyNumberFormat="1" applyFont="1" applyAlignment="1">
      <alignment vertical="center"/>
    </xf>
    <xf numFmtId="226" fontId="4" fillId="0" borderId="0" xfId="0" applyNumberFormat="1" applyFont="1" applyAlignment="1">
      <alignment vertical="center"/>
    </xf>
    <xf numFmtId="226" fontId="0" fillId="0" borderId="0" xfId="0" applyNumberFormat="1" applyAlignment="1">
      <alignment vertical="center"/>
    </xf>
    <xf numFmtId="226" fontId="12" fillId="0" borderId="0" xfId="0" applyNumberFormat="1" applyFont="1" applyAlignment="1">
      <alignment vertical="center"/>
    </xf>
    <xf numFmtId="43" fontId="12" fillId="0" borderId="2" xfId="15448" applyFont="1" applyFill="1" applyBorder="1" applyAlignment="1">
      <alignment horizontal="right" vertical="center"/>
    </xf>
    <xf numFmtId="226" fontId="13" fillId="0" borderId="0" xfId="0" applyNumberFormat="1" applyFont="1" applyAlignment="1">
      <alignment vertical="center"/>
    </xf>
    <xf numFmtId="43" fontId="4" fillId="0" borderId="0" xfId="12111" applyNumberFormat="1" applyFont="1" applyFill="1" applyAlignment="1">
      <alignment vertical="center"/>
    </xf>
    <xf numFmtId="43" fontId="22" fillId="0" borderId="0" xfId="41" applyFont="1" applyAlignment="1">
      <alignment vertical="center"/>
    </xf>
    <xf numFmtId="226" fontId="22" fillId="0" borderId="0" xfId="0" applyNumberFormat="1" applyFont="1" applyAlignment="1">
      <alignment vertical="center"/>
    </xf>
    <xf numFmtId="231" fontId="12" fillId="0" borderId="0" xfId="0" applyNumberFormat="1" applyFont="1" applyAlignment="1">
      <alignment vertical="center"/>
    </xf>
    <xf numFmtId="226" fontId="12" fillId="0" borderId="0" xfId="0" applyNumberFormat="1" applyFont="1" applyAlignment="1">
      <alignment horizontal="center" vertical="center"/>
    </xf>
    <xf numFmtId="231" fontId="22" fillId="0" borderId="0" xfId="0" applyNumberFormat="1" applyFont="1" applyAlignment="1">
      <alignment vertical="center"/>
    </xf>
    <xf numFmtId="43" fontId="12" fillId="0" borderId="2" xfId="15443" applyNumberFormat="1" applyFont="1" applyFill="1" applyBorder="1" applyAlignment="1">
      <alignment horizontal="right" vertical="center"/>
    </xf>
    <xf numFmtId="43" fontId="12" fillId="0" borderId="2" xfId="15386" applyFont="1" applyFill="1" applyBorder="1" applyAlignment="1">
      <alignment horizontal="center" vertical="center" wrapText="1"/>
    </xf>
    <xf numFmtId="226" fontId="22" fillId="14" borderId="0" xfId="10286" applyNumberFormat="1" applyFont="1" applyFill="1" applyAlignment="1">
      <alignment vertical="center"/>
    </xf>
    <xf numFmtId="226" fontId="22" fillId="15" borderId="0" xfId="10286" applyNumberFormat="1" applyFont="1" applyFill="1" applyAlignment="1">
      <alignment vertical="center"/>
    </xf>
    <xf numFmtId="226" fontId="23" fillId="0" borderId="0" xfId="10286" applyNumberFormat="1" applyFont="1" applyAlignment="1">
      <alignment vertical="center"/>
    </xf>
    <xf numFmtId="226" fontId="8" fillId="14" borderId="2" xfId="13561" applyNumberFormat="1" applyFill="1" applyBorder="1" applyAlignment="1">
      <alignment horizontal="center" vertical="center"/>
    </xf>
    <xf numFmtId="226" fontId="4" fillId="14" borderId="2" xfId="13561" applyNumberFormat="1" applyFont="1" applyFill="1" applyBorder="1" applyAlignment="1">
      <alignment horizontal="center" vertical="center"/>
    </xf>
    <xf numFmtId="43" fontId="12" fillId="14" borderId="2" xfId="41" applyFont="1" applyFill="1" applyBorder="1" applyAlignment="1">
      <alignment horizontal="center" vertical="center" wrapText="1"/>
    </xf>
    <xf numFmtId="43" fontId="12" fillId="15" borderId="0" xfId="41" applyFont="1" applyFill="1" applyAlignment="1">
      <alignment vertical="center"/>
    </xf>
    <xf numFmtId="43" fontId="12" fillId="15" borderId="0" xfId="41" applyFont="1" applyFill="1" applyBorder="1" applyAlignment="1">
      <alignment horizontal="center" vertical="center" wrapText="1"/>
    </xf>
    <xf numFmtId="226" fontId="24" fillId="0" borderId="2" xfId="10286" applyNumberFormat="1" applyFont="1" applyBorder="1" applyAlignment="1">
      <alignment vertical="center"/>
    </xf>
    <xf numFmtId="190" fontId="12" fillId="0" borderId="2" xfId="10286" applyNumberFormat="1" applyFont="1" applyBorder="1" applyAlignment="1">
      <alignment vertical="center"/>
    </xf>
    <xf numFmtId="43" fontId="12" fillId="0" borderId="2" xfId="10286" applyNumberFormat="1" applyFont="1" applyBorder="1" applyAlignment="1">
      <alignment vertical="center"/>
    </xf>
    <xf numFmtId="226" fontId="22" fillId="0" borderId="2" xfId="10286" applyNumberFormat="1" applyFont="1" applyBorder="1" applyAlignment="1">
      <alignment vertical="center"/>
    </xf>
    <xf numFmtId="43" fontId="22" fillId="0" borderId="2" xfId="10286" applyNumberFormat="1" applyFont="1" applyBorder="1" applyAlignment="1">
      <alignment vertical="center"/>
    </xf>
    <xf numFmtId="0" fontId="0" fillId="0" borderId="2" xfId="0" applyBorder="1">
      <alignment vertical="center"/>
    </xf>
    <xf numFmtId="226" fontId="25" fillId="0" borderId="0" xfId="12111" applyNumberFormat="1" applyFont="1" applyFill="1" applyAlignment="1">
      <alignment vertical="center"/>
    </xf>
    <xf numFmtId="43" fontId="13" fillId="14" borderId="2" xfId="41" applyFont="1" applyFill="1" applyBorder="1" applyAlignment="1">
      <alignment horizontal="center" vertical="center"/>
    </xf>
    <xf numFmtId="226" fontId="5" fillId="0" borderId="0" xfId="10286" applyNumberFormat="1" applyFont="1" applyAlignment="1">
      <alignment vertical="center"/>
    </xf>
    <xf numFmtId="43" fontId="22" fillId="15" borderId="0" xfId="41" applyFont="1" applyFill="1" applyAlignment="1">
      <alignment vertical="center"/>
    </xf>
    <xf numFmtId="226" fontId="23" fillId="15" borderId="0" xfId="10286" applyNumberFormat="1" applyFont="1" applyFill="1" applyAlignment="1">
      <alignment vertical="center"/>
    </xf>
    <xf numFmtId="43" fontId="23" fillId="0" borderId="0" xfId="41" applyFont="1" applyAlignment="1">
      <alignment vertical="center"/>
    </xf>
    <xf numFmtId="43" fontId="26" fillId="0" borderId="2" xfId="10286" applyNumberFormat="1" applyFont="1" applyBorder="1" applyAlignment="1">
      <alignment vertical="center"/>
    </xf>
    <xf numFmtId="43" fontId="23" fillId="0" borderId="2" xfId="10286" applyNumberFormat="1" applyFont="1" applyBorder="1" applyAlignment="1">
      <alignment vertical="center"/>
    </xf>
    <xf numFmtId="0" fontId="3" fillId="0" borderId="0" xfId="12111" applyFont="1" applyFill="1" applyAlignment="1">
      <alignment vertical="center"/>
    </xf>
    <xf numFmtId="0" fontId="3" fillId="0" borderId="0" xfId="12111" applyFont="1" applyFill="1" applyAlignment="1">
      <alignment horizontal="center" vertical="center"/>
    </xf>
    <xf numFmtId="0" fontId="2" fillId="7" borderId="0" xfId="12111" applyFont="1" applyFill="1" applyAlignment="1">
      <alignment horizontal="center" vertical="center"/>
    </xf>
    <xf numFmtId="0" fontId="18" fillId="0" borderId="0" xfId="12111" applyFont="1" applyAlignment="1">
      <alignment vertical="center"/>
    </xf>
    <xf numFmtId="0" fontId="5" fillId="0" borderId="0" xfId="12111" applyFont="1" applyAlignment="1">
      <alignment vertical="center"/>
    </xf>
    <xf numFmtId="0" fontId="5" fillId="0" borderId="0" xfId="10286" applyFont="1" applyFill="1" applyAlignment="1">
      <alignment vertical="center"/>
    </xf>
    <xf numFmtId="0" fontId="5" fillId="0" borderId="0" xfId="10286" applyFont="1" applyAlignment="1">
      <alignment vertical="center"/>
    </xf>
    <xf numFmtId="0" fontId="3" fillId="2" borderId="3" xfId="10286" applyFont="1" applyFill="1" applyBorder="1" applyAlignment="1">
      <alignment horizontal="center" vertical="center"/>
    </xf>
    <xf numFmtId="0" fontId="3" fillId="2" borderId="3" xfId="10286" applyFont="1" applyFill="1" applyBorder="1" applyAlignment="1">
      <alignment horizontal="center" vertical="center" wrapText="1"/>
    </xf>
    <xf numFmtId="0" fontId="3" fillId="2" borderId="5" xfId="10286" applyFont="1" applyFill="1" applyBorder="1" applyAlignment="1">
      <alignment horizontal="center" vertical="center"/>
    </xf>
    <xf numFmtId="0" fontId="3" fillId="2" borderId="5" xfId="10286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left" vertical="center" wrapText="1"/>
    </xf>
    <xf numFmtId="0" fontId="10" fillId="3" borderId="4" xfId="0" applyFont="1" applyFill="1" applyBorder="1" applyAlignment="1">
      <alignment horizontal="left" vertical="center" wrapText="1"/>
    </xf>
    <xf numFmtId="0" fontId="10" fillId="3" borderId="5" xfId="0" applyFont="1" applyFill="1" applyBorder="1" applyAlignment="1">
      <alignment horizontal="left" vertical="center" wrapText="1"/>
    </xf>
    <xf numFmtId="0" fontId="10" fillId="4" borderId="3" xfId="0" applyFont="1" applyFill="1" applyBorder="1" applyAlignment="1">
      <alignment horizontal="left" vertical="center" wrapText="1"/>
    </xf>
    <xf numFmtId="0" fontId="10" fillId="4" borderId="4" xfId="0" applyFont="1" applyFill="1" applyBorder="1" applyAlignment="1">
      <alignment horizontal="left" vertical="center" wrapText="1"/>
    </xf>
    <xf numFmtId="0" fontId="10" fillId="4" borderId="5" xfId="0" applyFont="1" applyFill="1" applyBorder="1" applyAlignment="1">
      <alignment horizontal="left" vertical="center" wrapText="1"/>
    </xf>
    <xf numFmtId="0" fontId="10" fillId="5" borderId="3" xfId="0" applyFont="1" applyFill="1" applyBorder="1" applyAlignment="1">
      <alignment horizontal="left" vertical="center" wrapText="1"/>
    </xf>
    <xf numFmtId="0" fontId="10" fillId="5" borderId="4" xfId="0" applyFont="1" applyFill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10" fillId="5" borderId="5" xfId="0" applyFont="1" applyFill="1" applyBorder="1" applyAlignment="1">
      <alignment horizontal="left" vertical="center" wrapText="1"/>
    </xf>
    <xf numFmtId="0" fontId="11" fillId="7" borderId="3" xfId="0" applyFont="1" applyFill="1" applyBorder="1" applyAlignment="1">
      <alignment horizontal="left" vertical="center" wrapText="1"/>
    </xf>
    <xf numFmtId="0" fontId="10" fillId="8" borderId="3" xfId="0" applyFont="1" applyFill="1" applyBorder="1" applyAlignment="1">
      <alignment horizontal="left" vertical="center" wrapText="1"/>
    </xf>
    <xf numFmtId="0" fontId="10" fillId="8" borderId="4" xfId="0" applyFont="1" applyFill="1" applyBorder="1" applyAlignment="1">
      <alignment horizontal="left" vertical="center" wrapText="1"/>
    </xf>
    <xf numFmtId="0" fontId="10" fillId="8" borderId="5" xfId="0" applyFont="1" applyFill="1" applyBorder="1" applyAlignment="1">
      <alignment horizontal="left" vertical="center" wrapText="1"/>
    </xf>
    <xf numFmtId="0" fontId="10" fillId="9" borderId="3" xfId="0" applyFont="1" applyFill="1" applyBorder="1" applyAlignment="1">
      <alignment horizontal="left" vertical="center" wrapText="1"/>
    </xf>
    <xf numFmtId="0" fontId="10" fillId="9" borderId="4" xfId="0" applyFont="1" applyFill="1" applyBorder="1" applyAlignment="1">
      <alignment horizontal="left" vertical="center" wrapText="1"/>
    </xf>
    <xf numFmtId="0" fontId="10" fillId="9" borderId="5" xfId="0" applyFont="1" applyFill="1" applyBorder="1" applyAlignment="1">
      <alignment horizontal="left" vertical="center" wrapText="1"/>
    </xf>
    <xf numFmtId="0" fontId="10" fillId="10" borderId="3" xfId="0" applyFont="1" applyFill="1" applyBorder="1" applyAlignment="1">
      <alignment horizontal="left" vertical="center" wrapText="1"/>
    </xf>
    <xf numFmtId="0" fontId="10" fillId="10" borderId="4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10" fillId="10" borderId="5" xfId="0" applyFont="1" applyFill="1" applyBorder="1" applyAlignment="1">
      <alignment horizontal="left" vertical="center" wrapText="1"/>
    </xf>
    <xf numFmtId="0" fontId="10" fillId="11" borderId="3" xfId="0" applyFont="1" applyFill="1" applyBorder="1" applyAlignment="1">
      <alignment horizontal="left" vertical="center" wrapText="1"/>
    </xf>
    <xf numFmtId="0" fontId="10" fillId="11" borderId="4" xfId="0" applyFont="1" applyFill="1" applyBorder="1" applyAlignment="1">
      <alignment horizontal="left" vertical="center" wrapText="1"/>
    </xf>
    <xf numFmtId="0" fontId="10" fillId="11" borderId="5" xfId="0" applyFont="1" applyFill="1" applyBorder="1" applyAlignment="1">
      <alignment horizontal="left" vertical="center" wrapText="1"/>
    </xf>
    <xf numFmtId="0" fontId="10" fillId="7" borderId="3" xfId="0" applyFont="1" applyFill="1" applyBorder="1" applyAlignment="1">
      <alignment horizontal="left" vertical="center" wrapText="1"/>
    </xf>
    <xf numFmtId="0" fontId="10" fillId="7" borderId="4" xfId="0" applyFont="1" applyFill="1" applyBorder="1" applyAlignment="1">
      <alignment horizontal="left" vertical="center" wrapText="1"/>
    </xf>
    <xf numFmtId="0" fontId="10" fillId="7" borderId="5" xfId="0" applyFont="1" applyFill="1" applyBorder="1" applyAlignment="1">
      <alignment horizontal="left" vertical="center" wrapText="1"/>
    </xf>
    <xf numFmtId="0" fontId="10" fillId="12" borderId="3" xfId="0" applyFont="1" applyFill="1" applyBorder="1" applyAlignment="1">
      <alignment horizontal="left" vertical="center" wrapText="1"/>
    </xf>
    <xf numFmtId="0" fontId="10" fillId="12" borderId="4" xfId="0" applyFont="1" applyFill="1" applyBorder="1" applyAlignment="1">
      <alignment horizontal="left" vertical="center" wrapText="1"/>
    </xf>
    <xf numFmtId="0" fontId="10" fillId="12" borderId="5" xfId="0" applyFont="1" applyFill="1" applyBorder="1" applyAlignment="1">
      <alignment horizontal="left" vertical="center" wrapText="1"/>
    </xf>
    <xf numFmtId="0" fontId="10" fillId="13" borderId="3" xfId="0" applyFont="1" applyFill="1" applyBorder="1" applyAlignment="1">
      <alignment horizontal="left" vertical="center" wrapText="1"/>
    </xf>
    <xf numFmtId="0" fontId="10" fillId="13" borderId="4" xfId="0" applyFont="1" applyFill="1" applyBorder="1" applyAlignment="1">
      <alignment horizontal="left" vertical="center" wrapText="1"/>
    </xf>
    <xf numFmtId="0" fontId="10" fillId="13" borderId="5" xfId="0" applyFont="1" applyFill="1" applyBorder="1" applyAlignment="1">
      <alignment horizontal="left" vertical="center" wrapText="1"/>
    </xf>
    <xf numFmtId="1" fontId="2" fillId="0" borderId="6" xfId="10286" applyNumberFormat="1" applyFont="1" applyFill="1" applyBorder="1" applyAlignment="1">
      <alignment horizontal="center" vertical="center"/>
    </xf>
    <xf numFmtId="1" fontId="2" fillId="0" borderId="7" xfId="10286" applyNumberFormat="1" applyFont="1" applyFill="1" applyBorder="1" applyAlignment="1">
      <alignment horizontal="center" vertical="center"/>
    </xf>
    <xf numFmtId="1" fontId="2" fillId="0" borderId="8" xfId="10286" applyNumberFormat="1" applyFont="1" applyFill="1" applyBorder="1" applyAlignment="1">
      <alignment horizontal="center" vertical="center"/>
    </xf>
    <xf numFmtId="43" fontId="13" fillId="0" borderId="2" xfId="41" applyFont="1" applyFill="1" applyBorder="1" applyAlignment="1">
      <alignment horizontal="right" vertical="center"/>
    </xf>
    <xf numFmtId="43" fontId="13" fillId="0" borderId="2" xfId="41" applyFont="1" applyFill="1" applyBorder="1" applyAlignment="1">
      <alignment vertical="center"/>
    </xf>
    <xf numFmtId="1" fontId="4" fillId="0" borderId="7" xfId="10286" applyNumberFormat="1" applyFont="1" applyFill="1" applyBorder="1" applyAlignment="1">
      <alignment horizontal="left" vertical="center"/>
    </xf>
    <xf numFmtId="0" fontId="4" fillId="0" borderId="0" xfId="12111" applyFont="1" applyAlignment="1">
      <alignment vertical="center"/>
    </xf>
    <xf numFmtId="0" fontId="18" fillId="0" borderId="0" xfId="12111" applyFont="1" applyFill="1" applyAlignment="1">
      <alignment horizontal="center" vertical="center"/>
    </xf>
    <xf numFmtId="43" fontId="18" fillId="0" borderId="0" xfId="12111" applyNumberFormat="1" applyFont="1" applyFill="1" applyAlignment="1">
      <alignment horizontal="center" vertical="center"/>
    </xf>
    <xf numFmtId="231" fontId="4" fillId="0" borderId="0" xfId="12111" applyNumberFormat="1" applyFont="1" applyFill="1" applyAlignment="1">
      <alignment vertical="center"/>
    </xf>
    <xf numFmtId="43" fontId="17" fillId="0" borderId="0" xfId="41" applyFont="1" applyFill="1" applyAlignment="1">
      <alignment vertical="center"/>
    </xf>
    <xf numFmtId="1" fontId="15" fillId="0" borderId="6" xfId="10286" applyNumberFormat="1" applyFont="1" applyFill="1" applyBorder="1" applyAlignment="1">
      <alignment horizontal="center" vertical="center"/>
    </xf>
    <xf numFmtId="1" fontId="15" fillId="0" borderId="7" xfId="10286" applyNumberFormat="1" applyFont="1" applyFill="1" applyBorder="1" applyAlignment="1">
      <alignment horizontal="center" vertical="center"/>
    </xf>
    <xf numFmtId="1" fontId="15" fillId="0" borderId="8" xfId="10286" applyNumberFormat="1" applyFont="1" applyFill="1" applyBorder="1" applyAlignment="1">
      <alignment horizontal="center" vertical="center"/>
    </xf>
    <xf numFmtId="43" fontId="27" fillId="0" borderId="2" xfId="15337" applyFont="1" applyFill="1" applyBorder="1" applyAlignment="1">
      <alignment horizontal="right" vertical="center"/>
    </xf>
    <xf numFmtId="43" fontId="27" fillId="0" borderId="2" xfId="15337" applyNumberFormat="1" applyFont="1" applyFill="1" applyBorder="1" applyAlignment="1">
      <alignment horizontal="right" vertical="center"/>
    </xf>
    <xf numFmtId="1" fontId="27" fillId="0" borderId="7" xfId="10286" applyNumberFormat="1" applyFont="1" applyFill="1" applyBorder="1" applyAlignment="1">
      <alignment horizontal="left" vertical="center"/>
    </xf>
    <xf numFmtId="43" fontId="12" fillId="0" borderId="2" xfId="15398" applyFont="1" applyFill="1" applyBorder="1" applyAlignment="1">
      <alignment horizontal="center" vertical="center" wrapText="1"/>
    </xf>
    <xf numFmtId="0" fontId="12" fillId="0" borderId="0" xfId="12111" applyFont="1" applyFill="1" applyAlignment="1">
      <alignment horizontal="right" vertical="center"/>
    </xf>
    <xf numFmtId="43" fontId="12" fillId="0" borderId="2" xfId="15413" applyFont="1" applyFill="1" applyBorder="1" applyAlignment="1">
      <alignment horizontal="center" vertical="center" wrapText="1"/>
    </xf>
    <xf numFmtId="1" fontId="3" fillId="0" borderId="6" xfId="10286" applyNumberFormat="1" applyFont="1" applyFill="1" applyBorder="1" applyAlignment="1">
      <alignment horizontal="center" vertical="center"/>
    </xf>
    <xf numFmtId="1" fontId="3" fillId="0" borderId="7" xfId="10286" applyNumberFormat="1" applyFont="1" applyFill="1" applyBorder="1" applyAlignment="1">
      <alignment horizontal="center" vertical="center"/>
    </xf>
    <xf numFmtId="1" fontId="3" fillId="0" borderId="8" xfId="10286" applyNumberFormat="1" applyFont="1" applyFill="1" applyBorder="1" applyAlignment="1">
      <alignment horizontal="center" vertical="center"/>
    </xf>
    <xf numFmtId="43" fontId="4" fillId="0" borderId="2" xfId="15448" applyNumberFormat="1" applyFont="1" applyFill="1" applyBorder="1" applyAlignment="1">
      <alignment vertical="center"/>
    </xf>
    <xf numFmtId="232" fontId="12" fillId="0" borderId="2" xfId="15431" applyNumberFormat="1" applyFont="1" applyFill="1" applyBorder="1" applyAlignment="1">
      <alignment horizontal="right" vertical="center"/>
    </xf>
    <xf numFmtId="43" fontId="12" fillId="0" borderId="2" xfId="41" applyFont="1" applyFill="1" applyBorder="1" applyAlignment="1">
      <alignment horizontal="right" vertical="center"/>
    </xf>
    <xf numFmtId="1" fontId="4" fillId="0" borderId="7" xfId="10286" applyNumberFormat="1" applyFont="1" applyFill="1" applyBorder="1" applyAlignment="1">
      <alignment horizontal="center" vertical="center"/>
    </xf>
    <xf numFmtId="0" fontId="4" fillId="0" borderId="0" xfId="12111" applyFont="1" applyFill="1" applyAlignment="1">
      <alignment horizontal="center" vertical="center"/>
    </xf>
    <xf numFmtId="43" fontId="12" fillId="0" borderId="2" xfId="41" applyFont="1" applyFill="1" applyBorder="1" applyAlignment="1">
      <alignment horizontal="center" vertical="center"/>
    </xf>
    <xf numFmtId="1" fontId="4" fillId="0" borderId="7" xfId="10286" applyNumberFormat="1" applyFont="1" applyFill="1" applyBorder="1" applyAlignment="1">
      <alignment horizontal="centerContinuous" vertical="center"/>
    </xf>
    <xf numFmtId="1" fontId="3" fillId="0" borderId="7" xfId="10286" applyNumberFormat="1" applyFont="1" applyFill="1" applyBorder="1" applyAlignment="1">
      <alignment horizontal="centerContinuous" vertical="center"/>
    </xf>
    <xf numFmtId="1" fontId="3" fillId="0" borderId="8" xfId="10286" applyNumberFormat="1" applyFont="1" applyFill="1" applyBorder="1" applyAlignment="1">
      <alignment horizontal="centerContinuous" vertical="center"/>
    </xf>
    <xf numFmtId="43" fontId="5" fillId="0" borderId="2" xfId="15448" applyNumberFormat="1" applyFont="1" applyFill="1" applyBorder="1" applyAlignment="1">
      <alignment vertical="center"/>
    </xf>
    <xf numFmtId="43" fontId="17" fillId="0" borderId="0" xfId="12111" applyNumberFormat="1" applyFont="1" applyFill="1" applyAlignment="1">
      <alignment vertical="center"/>
    </xf>
    <xf numFmtId="4" fontId="4" fillId="0" borderId="0" xfId="12111" applyNumberFormat="1" applyFont="1" applyFill="1" applyAlignment="1">
      <alignment vertical="center"/>
    </xf>
    <xf numFmtId="43" fontId="12" fillId="0" borderId="2" xfId="41" applyFont="1" applyFill="1" applyBorder="1" applyAlignment="1">
      <alignment vertical="center"/>
    </xf>
    <xf numFmtId="1" fontId="3" fillId="0" borderId="6" xfId="10286" applyNumberFormat="1" applyFont="1" applyFill="1" applyBorder="1" applyAlignment="1">
      <alignment vertical="center"/>
    </xf>
    <xf numFmtId="1" fontId="3" fillId="0" borderId="7" xfId="10286" applyNumberFormat="1" applyFont="1" applyFill="1" applyBorder="1" applyAlignment="1">
      <alignment vertical="center"/>
    </xf>
    <xf numFmtId="1" fontId="3" fillId="0" borderId="8" xfId="10286" applyNumberFormat="1" applyFont="1" applyFill="1" applyBorder="1" applyAlignment="1">
      <alignment vertical="center"/>
    </xf>
    <xf numFmtId="43" fontId="4" fillId="0" borderId="8" xfId="41" applyFont="1" applyFill="1" applyBorder="1" applyAlignment="1">
      <alignment horizontal="center" vertical="center"/>
    </xf>
    <xf numFmtId="4" fontId="2" fillId="0" borderId="0" xfId="12111" applyNumberFormat="1" applyFont="1" applyFill="1" applyAlignment="1">
      <alignment horizontal="center" vertical="center"/>
    </xf>
    <xf numFmtId="3" fontId="2" fillId="0" borderId="0" xfId="12111" applyNumberFormat="1" applyFont="1" applyFill="1" applyAlignment="1">
      <alignment horizontal="center" vertical="center"/>
    </xf>
    <xf numFmtId="4" fontId="2" fillId="7" borderId="0" xfId="12111" applyNumberFormat="1" applyFont="1" applyFill="1" applyAlignment="1">
      <alignment horizontal="center" vertical="center"/>
    </xf>
    <xf numFmtId="1" fontId="5" fillId="0" borderId="6" xfId="10286" applyNumberFormat="1" applyFont="1" applyFill="1" applyBorder="1" applyAlignment="1">
      <alignment vertical="center"/>
    </xf>
    <xf numFmtId="1" fontId="5" fillId="0" borderId="7" xfId="10286" applyNumberFormat="1" applyFont="1" applyFill="1" applyBorder="1" applyAlignment="1">
      <alignment vertical="center"/>
    </xf>
    <xf numFmtId="1" fontId="5" fillId="0" borderId="8" xfId="10286" applyNumberFormat="1" applyFont="1" applyFill="1" applyBorder="1" applyAlignment="1">
      <alignment vertical="center"/>
    </xf>
    <xf numFmtId="4" fontId="5" fillId="0" borderId="0" xfId="12111" applyNumberFormat="1" applyFont="1" applyFill="1" applyAlignment="1">
      <alignment vertical="center"/>
    </xf>
    <xf numFmtId="0" fontId="2" fillId="14" borderId="0" xfId="12111" applyFont="1" applyFill="1" applyAlignment="1">
      <alignment horizontal="center" vertical="center"/>
    </xf>
    <xf numFmtId="0" fontId="5" fillId="14" borderId="0" xfId="12111" applyFont="1" applyFill="1" applyAlignment="1">
      <alignment vertical="center"/>
    </xf>
    <xf numFmtId="0" fontId="10" fillId="14" borderId="3" xfId="13560" applyFont="1" applyFill="1" applyBorder="1" applyAlignment="1">
      <alignment horizontal="left" vertical="center" wrapText="1"/>
    </xf>
    <xf numFmtId="0" fontId="11" fillId="14" borderId="2" xfId="0" applyFont="1" applyFill="1" applyBorder="1" applyAlignment="1">
      <alignment horizontal="left" vertical="center" wrapText="1"/>
    </xf>
    <xf numFmtId="9" fontId="2" fillId="0" borderId="0" xfId="52" applyFont="1" applyFill="1" applyAlignment="1">
      <alignment horizontal="center" vertical="center"/>
    </xf>
    <xf numFmtId="43" fontId="2" fillId="14" borderId="0" xfId="12111" applyNumberFormat="1" applyFont="1" applyFill="1" applyAlignment="1">
      <alignment horizontal="center" vertical="center"/>
    </xf>
    <xf numFmtId="9" fontId="2" fillId="14" borderId="0" xfId="52" applyFont="1" applyFill="1" applyAlignment="1">
      <alignment horizontal="center" vertical="center"/>
    </xf>
    <xf numFmtId="1" fontId="3" fillId="14" borderId="6" xfId="10286" applyNumberFormat="1" applyFont="1" applyFill="1" applyBorder="1" applyAlignment="1">
      <alignment horizontal="center" vertical="center"/>
    </xf>
    <xf numFmtId="1" fontId="3" fillId="14" borderId="7" xfId="10286" applyNumberFormat="1" applyFont="1" applyFill="1" applyBorder="1" applyAlignment="1">
      <alignment horizontal="center" vertical="center"/>
    </xf>
    <xf numFmtId="1" fontId="3" fillId="14" borderId="8" xfId="10286" applyNumberFormat="1" applyFont="1" applyFill="1" applyBorder="1" applyAlignment="1">
      <alignment horizontal="center" vertical="center"/>
    </xf>
    <xf numFmtId="43" fontId="4" fillId="0" borderId="0" xfId="12111" applyNumberFormat="1" applyFont="1" applyFill="1" applyAlignment="1">
      <alignment horizontal="center" vertical="center"/>
    </xf>
    <xf numFmtId="0" fontId="4" fillId="0" borderId="2" xfId="12111" applyFont="1" applyFill="1" applyBorder="1" applyAlignment="1">
      <alignment vertical="center"/>
    </xf>
    <xf numFmtId="0" fontId="28" fillId="0" borderId="0" xfId="48" applyFill="1" applyAlignment="1" applyProtection="1">
      <alignment vertical="center"/>
    </xf>
    <xf numFmtId="43" fontId="8" fillId="0" borderId="2" xfId="41" applyFont="1" applyFill="1" applyBorder="1" applyAlignment="1">
      <alignment vertical="center"/>
    </xf>
    <xf numFmtId="0" fontId="13" fillId="0" borderId="2" xfId="12111" applyFont="1" applyFill="1" applyBorder="1" applyAlignment="1">
      <alignment vertical="center"/>
    </xf>
    <xf numFmtId="10" fontId="13" fillId="0" borderId="2" xfId="10286" applyNumberFormat="1" applyFont="1" applyFill="1" applyBorder="1" applyAlignment="1">
      <alignment horizontal="center" vertical="center"/>
    </xf>
    <xf numFmtId="43" fontId="13" fillId="0" borderId="2" xfId="12111" applyNumberFormat="1" applyFont="1" applyFill="1" applyBorder="1" applyAlignment="1">
      <alignment vertical="center"/>
    </xf>
    <xf numFmtId="0" fontId="5" fillId="0" borderId="6" xfId="12111" applyFont="1" applyFill="1" applyBorder="1" applyAlignment="1">
      <alignment horizontal="center" vertical="center"/>
    </xf>
    <xf numFmtId="0" fontId="5" fillId="0" borderId="7" xfId="12111" applyFont="1" applyFill="1" applyBorder="1" applyAlignment="1">
      <alignment horizontal="center" vertical="center"/>
    </xf>
    <xf numFmtId="0" fontId="5" fillId="0" borderId="8" xfId="12111" applyFont="1" applyFill="1" applyBorder="1" applyAlignment="1">
      <alignment horizontal="center" vertical="center"/>
    </xf>
    <xf numFmtId="43" fontId="18" fillId="0" borderId="0" xfId="12111" applyNumberFormat="1" applyFont="1" applyAlignment="1">
      <alignment vertical="center"/>
    </xf>
    <xf numFmtId="4" fontId="13" fillId="0" borderId="2" xfId="12111" applyNumberFormat="1" applyFont="1" applyFill="1" applyBorder="1" applyAlignment="1">
      <alignment vertical="center"/>
    </xf>
    <xf numFmtId="43" fontId="13" fillId="0" borderId="2" xfId="10286" applyNumberFormat="1" applyFont="1" applyFill="1" applyBorder="1" applyAlignment="1">
      <alignment horizontal="center" vertical="center"/>
    </xf>
    <xf numFmtId="43" fontId="12" fillId="0" borderId="2" xfId="15399" applyFont="1" applyFill="1" applyBorder="1" applyAlignment="1">
      <alignment horizontal="center" vertical="center" wrapText="1"/>
    </xf>
    <xf numFmtId="43" fontId="12" fillId="0" borderId="2" xfId="15414" applyFont="1" applyFill="1" applyBorder="1" applyAlignment="1">
      <alignment horizontal="center" vertical="center" wrapText="1"/>
    </xf>
    <xf numFmtId="43" fontId="12" fillId="7" borderId="2" xfId="15414" applyFont="1" applyFill="1" applyBorder="1" applyAlignment="1">
      <alignment horizontal="center" vertical="center" wrapText="1"/>
    </xf>
    <xf numFmtId="43" fontId="8" fillId="0" borderId="0" xfId="12111" applyNumberFormat="1" applyFont="1" applyFill="1" applyAlignment="1">
      <alignment horizontal="center" vertical="center"/>
    </xf>
    <xf numFmtId="190" fontId="8" fillId="0" borderId="2" xfId="12111" applyNumberFormat="1" applyFont="1" applyFill="1" applyBorder="1" applyAlignment="1">
      <alignment vertical="center"/>
    </xf>
    <xf numFmtId="43" fontId="12" fillId="7" borderId="2" xfId="41" applyFont="1" applyFill="1" applyBorder="1" applyAlignment="1">
      <alignment horizontal="center" vertical="center"/>
    </xf>
    <xf numFmtId="231" fontId="29" fillId="0" borderId="2" xfId="10286" applyNumberFormat="1" applyFont="1" applyFill="1" applyBorder="1" applyAlignment="1">
      <alignment horizontal="right" vertical="center"/>
    </xf>
    <xf numFmtId="0" fontId="8" fillId="0" borderId="0" xfId="41" applyNumberFormat="1" applyFont="1" applyFill="1" applyAlignment="1">
      <alignment vertical="center"/>
    </xf>
    <xf numFmtId="43" fontId="12" fillId="0" borderId="2" xfId="15360" applyFont="1" applyFill="1" applyBorder="1" applyAlignment="1">
      <alignment horizontal="center" vertical="center" wrapText="1"/>
    </xf>
    <xf numFmtId="43" fontId="12" fillId="0" borderId="2" xfId="10426" applyFont="1" applyFill="1" applyBorder="1" applyAlignment="1">
      <alignment horizontal="center" vertical="center" wrapText="1"/>
    </xf>
    <xf numFmtId="43" fontId="12" fillId="7" borderId="2" xfId="10426" applyFont="1" applyFill="1" applyBorder="1" applyAlignment="1">
      <alignment horizontal="center" vertical="center" wrapText="1"/>
    </xf>
    <xf numFmtId="43" fontId="12" fillId="0" borderId="2" xfId="15430" applyFont="1" applyFill="1" applyBorder="1" applyAlignment="1">
      <alignment horizontal="right" vertical="center"/>
    </xf>
    <xf numFmtId="43" fontId="12" fillId="7" borderId="2" xfId="41" applyFont="1" applyFill="1" applyBorder="1" applyAlignment="1">
      <alignment horizontal="center" vertical="center" wrapText="1"/>
    </xf>
    <xf numFmtId="43" fontId="5" fillId="0" borderId="0" xfId="12111" applyNumberFormat="1" applyFont="1" applyAlignment="1">
      <alignment vertical="center"/>
    </xf>
    <xf numFmtId="43" fontId="12" fillId="14" borderId="2" xfId="41" applyFont="1" applyFill="1" applyBorder="1" applyAlignment="1">
      <alignment horizontal="center" vertical="center"/>
    </xf>
    <xf numFmtId="43" fontId="15" fillId="0" borderId="2" xfId="15337" applyNumberFormat="1" applyFont="1" applyFill="1" applyBorder="1" applyAlignment="1">
      <alignment horizontal="right" vertical="center"/>
    </xf>
    <xf numFmtId="0" fontId="4" fillId="0" borderId="2" xfId="13452" applyNumberFormat="1" applyFont="1" applyFill="1" applyBorder="1" applyAlignment="1">
      <alignment vertical="center"/>
    </xf>
    <xf numFmtId="43" fontId="29" fillId="0" borderId="2" xfId="15448" applyNumberFormat="1" applyFont="1" applyFill="1" applyBorder="1" applyAlignment="1">
      <alignment horizontal="right" vertical="center"/>
    </xf>
    <xf numFmtId="4" fontId="4" fillId="0" borderId="0" xfId="12111" applyNumberFormat="1" applyFont="1" applyFill="1" applyAlignment="1">
      <alignment horizontal="center" vertical="center"/>
    </xf>
    <xf numFmtId="191" fontId="3" fillId="0" borderId="0" xfId="0" applyNumberFormat="1" applyFont="1" applyAlignment="1">
      <alignment vertical="center"/>
    </xf>
    <xf numFmtId="57" fontId="3" fillId="2" borderId="2" xfId="10286" applyNumberFormat="1" applyFont="1" applyFill="1" applyBorder="1" applyAlignment="1">
      <alignment vertical="center" wrapText="1"/>
    </xf>
    <xf numFmtId="0" fontId="11" fillId="14" borderId="3" xfId="13560" applyFont="1" applyFill="1" applyBorder="1" applyAlignment="1">
      <alignment horizontal="left" vertical="center" wrapText="1"/>
    </xf>
    <xf numFmtId="0" fontId="10" fillId="14" borderId="2" xfId="13560" applyFont="1" applyFill="1" applyBorder="1" applyAlignment="1">
      <alignment horizontal="left" vertical="center" wrapText="1"/>
    </xf>
    <xf numFmtId="0" fontId="11" fillId="14" borderId="3" xfId="0" applyFont="1" applyFill="1" applyBorder="1" applyAlignment="1">
      <alignment horizontal="left" vertical="center" wrapText="1"/>
    </xf>
    <xf numFmtId="57" fontId="8" fillId="0" borderId="2" xfId="12111" applyNumberFormat="1" applyFont="1" applyFill="1" applyBorder="1" applyAlignment="1">
      <alignment vertical="center"/>
    </xf>
    <xf numFmtId="43" fontId="2" fillId="0" borderId="2" xfId="41" applyFont="1" applyFill="1" applyBorder="1" applyAlignment="1">
      <alignment horizontal="center" vertical="center"/>
    </xf>
    <xf numFmtId="231" fontId="30" fillId="0" borderId="2" xfId="12111" applyNumberFormat="1" applyFont="1" applyFill="1" applyBorder="1" applyAlignment="1">
      <alignment vertical="center"/>
    </xf>
    <xf numFmtId="0" fontId="8" fillId="16" borderId="2" xfId="12111" applyFont="1" applyFill="1" applyBorder="1" applyAlignment="1">
      <alignment vertical="center"/>
    </xf>
    <xf numFmtId="231" fontId="30" fillId="16" borderId="2" xfId="12111" applyNumberFormat="1" applyFont="1" applyFill="1" applyBorder="1" applyAlignment="1">
      <alignment vertical="center"/>
    </xf>
    <xf numFmtId="43" fontId="30" fillId="16" borderId="2" xfId="12111" applyNumberFormat="1" applyFont="1" applyFill="1" applyBorder="1" applyAlignment="1">
      <alignment vertical="center"/>
    </xf>
    <xf numFmtId="0" fontId="31" fillId="0" borderId="0" xfId="0" applyFont="1" applyAlignment="1">
      <alignment horizontal="center" vertical="center"/>
    </xf>
    <xf numFmtId="4" fontId="31" fillId="0" borderId="0" xfId="0" applyNumberFormat="1" applyFont="1" applyAlignment="1">
      <alignment horizontal="center" vertical="center"/>
    </xf>
    <xf numFmtId="0" fontId="32" fillId="17" borderId="9" xfId="0" applyFont="1" applyFill="1" applyBorder="1" applyAlignment="1">
      <alignment horizontal="center" vertical="center"/>
    </xf>
    <xf numFmtId="0" fontId="31" fillId="18" borderId="9" xfId="0" applyFont="1" applyFill="1" applyBorder="1" applyAlignment="1">
      <alignment horizontal="center" vertical="center"/>
    </xf>
    <xf numFmtId="233" fontId="31" fillId="18" borderId="10" xfId="0" applyNumberFormat="1" applyFont="1" applyFill="1" applyBorder="1" applyAlignment="1">
      <alignment horizontal="center" vertical="center"/>
    </xf>
    <xf numFmtId="0" fontId="31" fillId="0" borderId="9" xfId="0" applyFont="1" applyFill="1" applyBorder="1" applyAlignment="1">
      <alignment horizontal="center" vertical="center"/>
    </xf>
    <xf numFmtId="43" fontId="31" fillId="0" borderId="10" xfId="0" applyNumberFormat="1" applyFont="1" applyFill="1" applyBorder="1" applyAlignment="1">
      <alignment horizontal="center" vertical="center"/>
    </xf>
    <xf numFmtId="4" fontId="31" fillId="19" borderId="9" xfId="0" applyNumberFormat="1" applyFont="1" applyFill="1" applyBorder="1" applyAlignment="1">
      <alignment horizontal="center" vertical="center"/>
    </xf>
    <xf numFmtId="43" fontId="31" fillId="19" borderId="10" xfId="0" applyNumberFormat="1" applyFont="1" applyFill="1" applyBorder="1" applyAlignment="1">
      <alignment horizontal="center" vertical="center"/>
    </xf>
    <xf numFmtId="43" fontId="31" fillId="18" borderId="10" xfId="0" applyNumberFormat="1" applyFont="1" applyFill="1" applyBorder="1" applyAlignment="1">
      <alignment horizontal="center" vertical="center"/>
    </xf>
    <xf numFmtId="43" fontId="31" fillId="0" borderId="0" xfId="0" applyNumberFormat="1" applyFont="1" applyAlignment="1">
      <alignment horizontal="center" vertical="center"/>
    </xf>
    <xf numFmtId="0" fontId="32" fillId="20" borderId="11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center" vertical="center"/>
    </xf>
    <xf numFmtId="233" fontId="31" fillId="0" borderId="13" xfId="0" applyNumberFormat="1" applyFont="1" applyFill="1" applyBorder="1" applyAlignment="1">
      <alignment horizontal="center" vertical="center"/>
    </xf>
    <xf numFmtId="43" fontId="31" fillId="0" borderId="13" xfId="0" applyNumberFormat="1" applyFont="1" applyFill="1" applyBorder="1" applyAlignment="1">
      <alignment horizontal="center" vertical="center"/>
    </xf>
    <xf numFmtId="4" fontId="31" fillId="0" borderId="12" xfId="0" applyNumberFormat="1" applyFont="1" applyFill="1" applyBorder="1" applyAlignment="1">
      <alignment horizontal="center" vertical="center"/>
    </xf>
    <xf numFmtId="0" fontId="31" fillId="0" borderId="13" xfId="0" applyFont="1" applyFill="1" applyBorder="1" applyAlignment="1">
      <alignment horizontal="center" vertical="center"/>
    </xf>
    <xf numFmtId="0" fontId="31" fillId="0" borderId="0" xfId="0" applyFont="1" applyFill="1" applyAlignment="1">
      <alignment horizontal="center" vertical="center"/>
    </xf>
    <xf numFmtId="0" fontId="32" fillId="17" borderId="14" xfId="0" applyFont="1" applyFill="1" applyBorder="1" applyAlignment="1">
      <alignment horizontal="center" vertical="center"/>
    </xf>
    <xf numFmtId="234" fontId="31" fillId="18" borderId="10" xfId="0" applyNumberFormat="1" applyFont="1" applyFill="1" applyBorder="1" applyAlignment="1">
      <alignment horizontal="center" vertical="center"/>
    </xf>
    <xf numFmtId="0" fontId="31" fillId="18" borderId="14" xfId="0" applyFont="1" applyFill="1" applyBorder="1" applyAlignment="1">
      <alignment horizontal="center" vertical="center"/>
    </xf>
    <xf numFmtId="43" fontId="31" fillId="0" borderId="14" xfId="0" applyNumberFormat="1" applyFont="1" applyFill="1" applyBorder="1" applyAlignment="1">
      <alignment horizontal="center" vertical="center"/>
    </xf>
    <xf numFmtId="43" fontId="31" fillId="18" borderId="14" xfId="0" applyNumberFormat="1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0" fontId="32" fillId="20" borderId="15" xfId="0" applyFont="1" applyFill="1" applyBorder="1" applyAlignment="1">
      <alignment horizontal="center" vertical="center"/>
    </xf>
    <xf numFmtId="234" fontId="31" fillId="0" borderId="13" xfId="0" applyNumberFormat="1" applyFont="1" applyFill="1" applyBorder="1" applyAlignment="1">
      <alignment horizontal="center" vertical="center"/>
    </xf>
    <xf numFmtId="0" fontId="31" fillId="0" borderId="16" xfId="0" applyFont="1" applyFill="1" applyBorder="1" applyAlignment="1">
      <alignment horizontal="center" vertical="center"/>
    </xf>
    <xf numFmtId="43" fontId="31" fillId="0" borderId="16" xfId="0" applyNumberFormat="1" applyFont="1" applyFill="1" applyBorder="1" applyAlignment="1">
      <alignment horizontal="center" vertical="center"/>
    </xf>
    <xf numFmtId="0" fontId="31" fillId="16" borderId="12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36" fillId="0" borderId="0" xfId="0" applyFont="1">
      <alignment vertical="center"/>
    </xf>
    <xf numFmtId="0" fontId="33" fillId="0" borderId="0" xfId="0" applyFont="1">
      <alignment vertical="center"/>
    </xf>
    <xf numFmtId="0" fontId="18" fillId="0" borderId="0" xfId="48" applyFont="1" applyAlignment="1" applyProtection="1">
      <alignment vertical="center"/>
    </xf>
    <xf numFmtId="0" fontId="37" fillId="0" borderId="0" xfId="48" applyFont="1" applyAlignment="1" applyProtection="1">
      <alignment horizontal="center" vertical="center"/>
    </xf>
    <xf numFmtId="0" fontId="37" fillId="0" borderId="0" xfId="48" applyFont="1" applyAlignment="1" applyProtection="1">
      <alignment vertical="center"/>
    </xf>
    <xf numFmtId="0" fontId="0" fillId="21" borderId="0" xfId="0" applyFont="1" applyFill="1" applyAlignment="1">
      <alignment horizontal="center" vertical="center"/>
    </xf>
    <xf numFmtId="0" fontId="37" fillId="21" borderId="0" xfId="48" applyFont="1" applyFill="1" applyAlignment="1" applyProtection="1">
      <alignment vertical="center"/>
    </xf>
    <xf numFmtId="0" fontId="0" fillId="22" borderId="0" xfId="0" applyFont="1" applyFill="1" applyAlignment="1">
      <alignment horizontal="center" vertical="center"/>
    </xf>
    <xf numFmtId="0" fontId="2" fillId="22" borderId="0" xfId="48" applyFont="1" applyFill="1" applyAlignment="1" applyProtection="1">
      <alignment vertical="center"/>
    </xf>
    <xf numFmtId="0" fontId="28" fillId="0" borderId="0" xfId="48" applyAlignment="1" applyProtection="1">
      <alignment vertical="center"/>
    </xf>
    <xf numFmtId="0" fontId="0" fillId="23" borderId="0" xfId="0" applyFont="1" applyFill="1" applyAlignment="1">
      <alignment horizontal="center" vertical="center"/>
    </xf>
    <xf numFmtId="0" fontId="3" fillId="23" borderId="0" xfId="48" applyFont="1" applyFill="1" applyAlignment="1" applyProtection="1">
      <alignment vertical="center"/>
    </xf>
    <xf numFmtId="0" fontId="18" fillId="23" borderId="0" xfId="48" applyFont="1" applyFill="1" applyAlignment="1" applyProtection="1">
      <alignment vertical="center"/>
    </xf>
    <xf numFmtId="0" fontId="0" fillId="14" borderId="0" xfId="0" applyFont="1" applyFill="1" applyAlignment="1">
      <alignment horizontal="center" vertical="center"/>
    </xf>
    <xf numFmtId="0" fontId="3" fillId="14" borderId="0" xfId="48" applyFont="1" applyFill="1" applyAlignment="1" applyProtection="1">
      <alignment vertical="center"/>
    </xf>
    <xf numFmtId="0" fontId="18" fillId="14" borderId="0" xfId="48" applyFont="1" applyFill="1" applyAlignment="1" applyProtection="1">
      <alignment vertical="center"/>
    </xf>
    <xf numFmtId="199" fontId="38" fillId="0" borderId="0" xfId="0" applyNumberFormat="1" applyFont="1" applyFill="1" applyBorder="1" applyAlignment="1" applyProtection="1">
      <alignment horizontal="centerContinuous" vertical="center"/>
    </xf>
    <xf numFmtId="199" fontId="25" fillId="0" borderId="0" xfId="0" applyNumberFormat="1" applyFont="1" applyFill="1" applyBorder="1" applyAlignment="1" applyProtection="1">
      <alignment horizontal="centerContinuous" vertical="center"/>
    </xf>
    <xf numFmtId="0" fontId="0" fillId="0" borderId="0" xfId="0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235" fontId="2" fillId="0" borderId="0" xfId="0" applyNumberFormat="1" applyFont="1" applyAlignment="1">
      <alignment horizontal="left" vertical="center"/>
    </xf>
    <xf numFmtId="235" fontId="0" fillId="0" borderId="0" xfId="0" applyNumberFormat="1">
      <alignment vertical="center"/>
    </xf>
    <xf numFmtId="199" fontId="39" fillId="0" borderId="0" xfId="0" applyNumberFormat="1" applyFont="1" applyFill="1" applyBorder="1" applyAlignment="1" applyProtection="1">
      <alignment vertical="center"/>
    </xf>
  </cellXfs>
  <cellStyles count="18344">
    <cellStyle name="常规" xfId="0" builtinId="0"/>
    <cellStyle name="货币[0]" xfId="1" builtinId="7"/>
    <cellStyle name="强调文字颜色 5 6 4" xfId="2"/>
    <cellStyle name="20% - 强调文字颜色 5 12 2 2 3" xfId="3"/>
    <cellStyle name="_审计提示模版" xfId="4"/>
    <cellStyle name="40% - 强调文字颜色 1 12 9" xfId="5"/>
    <cellStyle name="20% - 强调文字颜色 1 2 5 3" xfId="6"/>
    <cellStyle name="20% - 强调文字颜色 3 10 3" xfId="7"/>
    <cellStyle name="40% - 强调文字颜色 3 5 3 2 2 2" xfId="8"/>
    <cellStyle name="好_账龄02" xfId="9"/>
    <cellStyle name="40% - 强调文字颜色 4 11 3" xfId="10"/>
    <cellStyle name="解释性文本 5 4" xfId="11"/>
    <cellStyle name="_0610合并报表 3" xfId="12"/>
    <cellStyle name="差 2 4" xfId="13"/>
    <cellStyle name="20% - 强调文字颜色 5 6 8" xfId="14"/>
    <cellStyle name="强调文字颜色 4 12 6 2" xfId="15"/>
    <cellStyle name="40% - 强调文字颜色 1 5 12" xfId="16"/>
    <cellStyle name="40% - 强调文字颜色 4 5 3 2 3" xfId="17"/>
    <cellStyle name="检查单元格 8 3" xfId="18"/>
    <cellStyle name="输入" xfId="19" builtinId="20"/>
    <cellStyle name="20% - 强调文字颜色 6 2 12" xfId="20"/>
    <cellStyle name="输出 3 2 3 3" xfId="21"/>
    <cellStyle name="20% - 强调文字颜色 3 9 2 3 2" xfId="22"/>
    <cellStyle name="_ET_STYLE_NoName_00__财务费用表18_2 2 2" xfId="23"/>
    <cellStyle name="40% - 强调文字颜色 2 14 2" xfId="24"/>
    <cellStyle name="20% - 强调文字颜色 1 13 2" xfId="25"/>
    <cellStyle name="20% - 强调文字颜色 3" xfId="26" builtinId="38"/>
    <cellStyle name="货币" xfId="27" builtinId="4"/>
    <cellStyle name="20% - 强调文字颜色 2 3 6" xfId="28"/>
    <cellStyle name="20% - 强调文字颜色 2 16 2" xfId="29"/>
    <cellStyle name="20% - 强调文字颜色 4 8 2 5" xfId="30"/>
    <cellStyle name="40% - 强调文字颜色 1 3 5" xfId="31"/>
    <cellStyle name="_ET_STYLE_NoName_00__财务费用表18_11" xfId="32"/>
    <cellStyle name="千位分隔[0]" xfId="33" builtinId="6"/>
    <cellStyle name="40% - 强调文字颜色 2 2 3 2 2" xfId="34"/>
    <cellStyle name="40% - 强调文字颜色 3" xfId="35" builtinId="39"/>
    <cellStyle name="40% - 强调文字颜色 3 3 3 2" xfId="36"/>
    <cellStyle name="差" xfId="37" builtinId="27"/>
    <cellStyle name="20% - 强调文字颜色 6 8 2 5" xfId="38"/>
    <cellStyle name="20% - 强调文字颜色 2 2 3 2 2 2" xfId="39"/>
    <cellStyle name="20% - 强调文字颜色 1 2 2 2 2 4" xfId="40"/>
    <cellStyle name="千位分隔" xfId="41" builtinId="3"/>
    <cellStyle name="60% - 强调文字颜色 3" xfId="42" builtinId="40"/>
    <cellStyle name="20% - 强调文字颜色 6 9 3 3 2" xfId="43"/>
    <cellStyle name="40% - 强调文字颜色 1 6 2 4" xfId="44"/>
    <cellStyle name="20% - 强调文字颜色 6 11 2 3 2" xfId="45"/>
    <cellStyle name="20% - 强调文字颜色 1 7 2 2 3" xfId="46"/>
    <cellStyle name="20% - 强调文字颜色 1 15 2 2" xfId="47"/>
    <cellStyle name="超链接" xfId="48" builtinId="8"/>
    <cellStyle name="40% - 强调文字颜色 2 12" xfId="49"/>
    <cellStyle name="_ET_STYLE_NoName_00__母公司利润表06_2 3" xfId="50"/>
    <cellStyle name="20% - 强调文字颜色 1 11" xfId="51"/>
    <cellStyle name="百分比" xfId="52" builtinId="5"/>
    <cellStyle name="已访问的超链接" xfId="53" builtinId="9"/>
    <cellStyle name="20% - 强调文字颜色 6 4 2 2" xfId="54"/>
    <cellStyle name="注释" xfId="55" builtinId="10"/>
    <cellStyle name="40% - 强调文字颜色 2 5 6 2" xfId="56"/>
    <cellStyle name="40% - 强调文字颜色 6 10 3 3 2" xfId="57"/>
    <cellStyle name="适中 14 3" xfId="58"/>
    <cellStyle name="60% - 强调文字颜色 2" xfId="59" builtinId="36"/>
    <cellStyle name="20% - 强调文字颜色 4 11 4 2 2" xfId="60"/>
    <cellStyle name="好_账龄02. 2 3" xfId="61"/>
    <cellStyle name="40% - 强调文字颜色 2 12 7" xfId="62"/>
    <cellStyle name="强调文字颜色 6 3 7 2" xfId="63"/>
    <cellStyle name="标题 4" xfId="64" builtinId="19"/>
    <cellStyle name="20% - 强调文字颜色 1 11 7" xfId="65"/>
    <cellStyle name="注释 13 5" xfId="66"/>
    <cellStyle name="警告文本" xfId="67" builtinId="11"/>
    <cellStyle name="40% - 强调文字颜色 2 2 4 2 2" xfId="68"/>
    <cellStyle name="_ET_STYLE_NoName_00_ 4" xfId="69"/>
    <cellStyle name="标题" xfId="70" builtinId="15"/>
    <cellStyle name="20% - 强调文字颜色 6 5 12" xfId="71"/>
    <cellStyle name="_刘青分工－子公司审计模板－铁达本部" xfId="72"/>
    <cellStyle name="60% - 强调文字颜色 6 8" xfId="73"/>
    <cellStyle name="解释性文本" xfId="74" builtinId="53"/>
    <cellStyle name="40% - 强调文字颜色 2 8 4 2" xfId="75"/>
    <cellStyle name="强调文字颜色 6 12 3 2" xfId="76"/>
    <cellStyle name="40% - 强调文字颜色 2 12 4" xfId="77"/>
    <cellStyle name="汇总 7 5 2" xfId="78"/>
    <cellStyle name="强调文字颜色 5 7 12" xfId="79"/>
    <cellStyle name="标题 1" xfId="80" builtinId="16"/>
    <cellStyle name="20% - 强调文字颜色 1 11 4" xfId="81"/>
    <cellStyle name="千位分隔 4 15" xfId="82"/>
    <cellStyle name="0%" xfId="83"/>
    <cellStyle name="40% - 强调文字颜色 4 7 4 3" xfId="84"/>
    <cellStyle name="20% - 强调文字颜色 3 7 11" xfId="85"/>
    <cellStyle name="0,0_x000d__x000a_NA_x000d__x000a_" xfId="86"/>
    <cellStyle name="差 7" xfId="87"/>
    <cellStyle name="40% - 强调文字颜色 2 12 5" xfId="88"/>
    <cellStyle name="标题 2" xfId="89" builtinId="17"/>
    <cellStyle name="20% - 强调文字颜色 1 11 5" xfId="90"/>
    <cellStyle name="适中 14 2" xfId="91"/>
    <cellStyle name="60% - 强调文字颜色 1" xfId="92" builtinId="32"/>
    <cellStyle name="40% - 强调文字颜色 2 11 2 3 2" xfId="93"/>
    <cellStyle name="40% - 强调文字颜色 1 6 2 2" xfId="94"/>
    <cellStyle name="20% - 强调文字颜色 4 3 11" xfId="95"/>
    <cellStyle name="Border 2 2" xfId="96"/>
    <cellStyle name="20% - 强调文字颜色 1 10 2 3 2" xfId="97"/>
    <cellStyle name="40% - 强调文字颜色 2 11 4 3" xfId="98"/>
    <cellStyle name="40% - 强调文字颜色 1 8 2" xfId="99"/>
    <cellStyle name="20% - 强调文字颜色 1 10 4 3" xfId="100"/>
    <cellStyle name="60% - 强调文字颜色 2 8 7" xfId="101"/>
    <cellStyle name="20% - 强调文字颜色 1 3 9" xfId="102"/>
    <cellStyle name="适中 12 2 2" xfId="103"/>
    <cellStyle name="40% - 强调文字颜色 2 12 6" xfId="104"/>
    <cellStyle name="强调文字颜色 5 6 2 2 2" xfId="105"/>
    <cellStyle name="标题 3" xfId="106" builtinId="18"/>
    <cellStyle name="20% - 强调文字颜色 1 11 6" xfId="107"/>
    <cellStyle name="20% - 强调文字颜色 4 5 3 2 2" xfId="108"/>
    <cellStyle name="强调文字颜色 6 9 3 2" xfId="109"/>
    <cellStyle name="适中 2 6 2" xfId="110"/>
    <cellStyle name="60% - 强调文字颜色 4" xfId="111" builtinId="44"/>
    <cellStyle name="20% - 强调文字颜色 6 4 4 2" xfId="112"/>
    <cellStyle name="40% - 强调文字颜色 1 8 5" xfId="113"/>
    <cellStyle name="_成本报表 3 2" xfId="114"/>
    <cellStyle name="标题 4 13 4 2" xfId="115"/>
    <cellStyle name="注释 13 3 2 2" xfId="116"/>
    <cellStyle name="输出" xfId="117" builtinId="21"/>
    <cellStyle name="40% - 强调文字颜色 3 4 7" xfId="118"/>
    <cellStyle name="40% - 强调文字颜色 6 11 2 4" xfId="119"/>
    <cellStyle name="20% - 强调文字颜色 5 10 2 4" xfId="120"/>
    <cellStyle name="20% - 强调文字颜色 2 4 2" xfId="121"/>
    <cellStyle name="40% - 强调文字颜色 3 7 2 2" xfId="122"/>
    <cellStyle name="20% - 强调文字颜色 4 2 2 2 2 4" xfId="123"/>
    <cellStyle name="40% - 强调文字颜色 2 13 3 3 2" xfId="124"/>
    <cellStyle name="20% - 强调文字颜色 5 2 3 2 2 2" xfId="125"/>
    <cellStyle name="20% - 强调文字颜色 6 11 6 2" xfId="126"/>
    <cellStyle name="20% - 强调文字颜色 1 12 3 3 2" xfId="127"/>
    <cellStyle name="20% - 强调文字颜色 4 16" xfId="128"/>
    <cellStyle name="20% - 强调文字颜色 1 3 4 3" xfId="129"/>
    <cellStyle name="计算" xfId="130" builtinId="22"/>
    <cellStyle name="40% - 强调文字颜色 2 4 8" xfId="131"/>
    <cellStyle name="40% - 强调文字颜色 6 10 2 5" xfId="132"/>
    <cellStyle name="20% - 强调文字颜色 1 4 3" xfId="133"/>
    <cellStyle name="检查单元格" xfId="134" builtinId="23"/>
    <cellStyle name="_借款－股份" xfId="135"/>
    <cellStyle name="20% - 强调文字颜色 6" xfId="136" builtinId="50"/>
    <cellStyle name="强调文字颜色 2" xfId="137" builtinId="33"/>
    <cellStyle name="输出 5 2 5 2" xfId="138"/>
    <cellStyle name="链接单元格" xfId="139" builtinId="24"/>
    <cellStyle name="20% - 强调文字颜色 6 3 5" xfId="140"/>
    <cellStyle name="Header2 2 2 2 2 8" xfId="141"/>
    <cellStyle name="20% - 强调文字颜色 4 5 2 3" xfId="142"/>
    <cellStyle name="强调文字颜色 6 8 4" xfId="143"/>
    <cellStyle name="40% - 强调文字颜色 2 11 6 2" xfId="144"/>
    <cellStyle name="20% - 强调文字颜色 1 10 6 2" xfId="145"/>
    <cellStyle name="40% - 强调文字颜色 2 12 12" xfId="146"/>
    <cellStyle name="强调文字颜色 5 7 4 2" xfId="147"/>
    <cellStyle name="20% - 强调文字颜色 5 2 5 2" xfId="148"/>
    <cellStyle name="好 2 8" xfId="149"/>
    <cellStyle name="20% - 强调文字颜色 1 11 12" xfId="150"/>
    <cellStyle name="60% - 强调文字颜色 2 3 2 3" xfId="151"/>
    <cellStyle name="40% - 强调文字颜色 3 9 3 2 3" xfId="152"/>
    <cellStyle name="60% - 强调文字颜色 6 7 3 2" xfId="153"/>
    <cellStyle name="20% - 强调文字颜色 1 5 8" xfId="154"/>
    <cellStyle name="汇总" xfId="155" builtinId="25"/>
    <cellStyle name="20% - 强调文字颜色 1 6 6" xfId="156"/>
    <cellStyle name="_成本报表 2" xfId="157"/>
    <cellStyle name="标题 4 13 3" xfId="158"/>
    <cellStyle name="好" xfId="159" builtinId="26"/>
    <cellStyle name="_0610合并报表 2 2" xfId="160"/>
    <cellStyle name="解释性文本 5 3 2" xfId="161"/>
    <cellStyle name="40% - 强调文字颜色 4 11 2 2" xfId="162"/>
    <cellStyle name="40% - 强调文字颜色 2 5 3" xfId="163"/>
    <cellStyle name="60% - 强调文字颜色 5 12 2 2" xfId="164"/>
    <cellStyle name="20% - 强调文字颜色 3 10 2 2" xfId="165"/>
    <cellStyle name="强调文字颜色 3 11 12" xfId="166"/>
    <cellStyle name="_ET_STYLE_NoName_00__财务部2011年费用预算" xfId="167"/>
    <cellStyle name="20% - 强调文字颜色 1 2 5 2 2" xfId="168"/>
    <cellStyle name="适中" xfId="169" builtinId="28"/>
    <cellStyle name="20% - 强调文字颜色 5 14" xfId="170"/>
    <cellStyle name="40% - 强调文字颜色 2 13 4 2" xfId="171"/>
    <cellStyle name="20% - 强调文字颜色 6 12 5" xfId="172"/>
    <cellStyle name="好 9 9" xfId="173"/>
    <cellStyle name="20% - 强调文字颜色 6 10 12" xfId="174"/>
    <cellStyle name="20% - 强调文字颜色 1 12 4 2" xfId="175"/>
    <cellStyle name="60% - 强调文字颜色 4 8 6" xfId="176"/>
    <cellStyle name="20% - 强调文字颜色 5" xfId="177" builtinId="46"/>
    <cellStyle name="20% - 强调文字颜色 1 4 3 3 2" xfId="178"/>
    <cellStyle name="强调文字颜色 1" xfId="179" builtinId="29"/>
    <cellStyle name="20% - 强调文字颜色 1" xfId="180" builtinId="30"/>
    <cellStyle name="20% - 强调文字颜色 6 11 3 2 2 2" xfId="181"/>
    <cellStyle name="40% - 强调文字颜色 5 9 12" xfId="182"/>
    <cellStyle name="40% - 强调文字颜色 1" xfId="183" builtinId="31"/>
    <cellStyle name="20% - 强调文字颜色 1 2 2 2 4" xfId="184"/>
    <cellStyle name="20% - 强调文字颜色 1 4 4 2" xfId="185"/>
    <cellStyle name="20% - 强调文字颜色 2 4 2 2" xfId="186"/>
    <cellStyle name="0.0%" xfId="187"/>
    <cellStyle name="输出 2" xfId="188"/>
    <cellStyle name="20% - 强调文字颜色 2" xfId="189" builtinId="34"/>
    <cellStyle name="20% - 强调文字颜色 1 4 4 3" xfId="190"/>
    <cellStyle name="40% - 强调文字颜色 2" xfId="191" builtinId="35"/>
    <cellStyle name="检查单元格 11 3 2" xfId="192"/>
    <cellStyle name="千位分隔 2 2 4 2" xfId="193"/>
    <cellStyle name="强调文字颜色 3" xfId="194" builtinId="37"/>
    <cellStyle name="千位分隔 2 2 4 3" xfId="195"/>
    <cellStyle name="强调文字颜色 4" xfId="196" builtinId="41"/>
    <cellStyle name="20% - 强调文字颜色 5 5 2 2 2" xfId="197"/>
    <cellStyle name="20% - 强调文字颜色 1 13 3 2 2" xfId="198"/>
    <cellStyle name="60% - 强调文字颜色 5 7 6 2" xfId="199"/>
    <cellStyle name="40% - 强调文字颜色 2 8 2 2 2 2" xfId="200"/>
    <cellStyle name="20% - 强调文字颜色 2 4 2 4" xfId="201"/>
    <cellStyle name="_审计所需资料清单－子公司" xfId="202"/>
    <cellStyle name="20% - 强调文字颜色 6 8 3 3" xfId="203"/>
    <cellStyle name="20% - 强调文字颜色 1 2 2 2 3 2" xfId="204"/>
    <cellStyle name="20% - 强调文字颜色 4" xfId="205" builtinId="42"/>
    <cellStyle name="40% - 强调文字颜色 4" xfId="206" builtinId="43"/>
    <cellStyle name="40% - 强调文字颜色 3 3 3 3" xfId="207"/>
    <cellStyle name="强调文字颜色 5" xfId="208" builtinId="45"/>
    <cellStyle name="20% - 强调文字颜色 5 5 2 2 3" xfId="209"/>
    <cellStyle name="20% - 强调文字颜色 1 13 3 2 3" xfId="210"/>
    <cellStyle name="40% - 强调文字颜色 5" xfId="211" builtinId="47"/>
    <cellStyle name="40% - 强调文字颜色 3 3 3 4" xfId="212"/>
    <cellStyle name="20% - 强调文字颜色 4 5 3 2 3" xfId="213"/>
    <cellStyle name="强调文字颜色 6 9 3 3" xfId="214"/>
    <cellStyle name="60% - 强调文字颜色 5" xfId="215" builtinId="48"/>
    <cellStyle name="20% - 强调文字颜色 6 4 4 3" xfId="216"/>
    <cellStyle name="强调文字颜色 6" xfId="217" builtinId="49"/>
    <cellStyle name="适中 8 2" xfId="218"/>
    <cellStyle name="40% - 强调文字颜色 6" xfId="219" builtinId="51"/>
    <cellStyle name="20% - 强调文字颜色 5 4 3 2 2" xfId="220"/>
    <cellStyle name="40% - 强调文字颜色 2 13 4 2 2" xfId="221"/>
    <cellStyle name="20% - 强调文字颜色 6 12 5 2" xfId="222"/>
    <cellStyle name="20% - 强调文字颜色 1 12 4 2 2" xfId="223"/>
    <cellStyle name="60% - 强调文字颜色 4 8 6 2" xfId="224"/>
    <cellStyle name="60% - 强调文字颜色 6" xfId="225" builtinId="52"/>
    <cellStyle name="???嘰???嘰???嘰???嘰???嘰???嘰???嘰???嘰???嘰???嘰???嘰???嘰" xfId="226"/>
    <cellStyle name="40% - 强调文字颜色 1 13 3 2 3" xfId="227"/>
    <cellStyle name="20% - 强调文字颜色 3 9 3 4" xfId="228"/>
    <cellStyle name="_ET_STYLE_NoName_00__财务费用表18_3 3" xfId="229"/>
    <cellStyle name="20% - 强调文字颜色 1 2 2 4 2" xfId="230"/>
    <cellStyle name="40% - 强调文字颜色 3 8 6 2" xfId="231"/>
    <cellStyle name="40% - 强调文字颜色 1 10 5" xfId="232"/>
    <cellStyle name="?餡_x000c_k?_x000d_^黇_x0001_??_x0007__x0001__x0001_" xfId="233"/>
    <cellStyle name="20% - 强调文字颜色 1 4 2 2 2 2" xfId="234"/>
    <cellStyle name="汇总 2 3 3" xfId="235"/>
    <cellStyle name="输出 11 5 6" xfId="236"/>
    <cellStyle name="20% - 强调文字颜色 6 9 11" xfId="237"/>
    <cellStyle name="注释 5 2 3 2" xfId="238"/>
    <cellStyle name="20% - 强调文字颜色 3 8 2" xfId="239"/>
    <cellStyle name="20% - 强调文字颜色 1 4 3 2 3" xfId="240"/>
    <cellStyle name="_0610合并报表 3 2" xfId="241"/>
    <cellStyle name="40% - 强调文字颜色 4 11 3 2" xfId="242"/>
    <cellStyle name="60% - 强调文字颜色 3 13 2 4" xfId="243"/>
    <cellStyle name="好_账龄02 2" xfId="244"/>
    <cellStyle name="40% - 强调文字颜色 2 6 3" xfId="245"/>
    <cellStyle name="40% - 强调文字颜色 1 2 2 6" xfId="246"/>
    <cellStyle name="60% - 强调文字颜色 5 12 3 2" xfId="247"/>
    <cellStyle name="强调文字颜色 6 10 2" xfId="248"/>
    <cellStyle name="40% - 强调文字颜色 2 12 2 4" xfId="249"/>
    <cellStyle name="20% - 强调文字颜色 3 10 3 2" xfId="250"/>
    <cellStyle name="20% - 强调文字颜色 1 11 2 4" xfId="251"/>
    <cellStyle name="60% - 强调文字颜色 3 6 8" xfId="252"/>
    <cellStyle name="@_text" xfId="253"/>
    <cellStyle name="20% - 强调文字颜色 4 11 3 2 2 2" xfId="254"/>
    <cellStyle name="?餡_x000c_k" xfId="255"/>
    <cellStyle name="60% - 强调文字颜色 6 13 3 2 2 2" xfId="256"/>
    <cellStyle name="20% - 强调文字颜色 1 13 6" xfId="257"/>
    <cellStyle name="_08年资金分析表" xfId="258"/>
    <cellStyle name="40% - 强调文字颜色 1 4 2 3 2" xfId="259"/>
    <cellStyle name="?餡_x000c_k?_x000d_^" xfId="260"/>
    <cellStyle name="40% - 强调文字颜色 3 8 9" xfId="261"/>
    <cellStyle name="强调文字颜色 4 6 6 2" xfId="262"/>
    <cellStyle name="20% - 强调文字颜色 2 8 4" xfId="263"/>
    <cellStyle name="60% - 强调文字颜色 1 2 4 3" xfId="264"/>
    <cellStyle name="?" xfId="265"/>
    <cellStyle name="40% - 强调文字颜色 2 11" xfId="266"/>
    <cellStyle name="_ET_STYLE_NoName_00__母公司利润表06_2 2" xfId="267"/>
    <cellStyle name="20% - 强调文字颜色 1 10" xfId="268"/>
    <cellStyle name="?_报表2011年九江天赐" xfId="269"/>
    <cellStyle name="_ET_STYLE_NoName_00_ 3 2" xfId="270"/>
    <cellStyle name="千位分隔 5 2 2 9" xfId="271"/>
    <cellStyle name="_(本部)2006年年报审计PBC表" xfId="272"/>
    <cellStyle name="20% - 强调文字颜色 2 9 2 3" xfId="273"/>
    <cellStyle name="_0610合并报表" xfId="274"/>
    <cellStyle name="40% - 强调文字颜色 4 11" xfId="275"/>
    <cellStyle name="20% - 强调文字颜色 6 15 2 2" xfId="276"/>
    <cellStyle name="千位分隔 3 6 2" xfId="277"/>
    <cellStyle name="20% - 强调文字颜色 3 10" xfId="278"/>
    <cellStyle name="20% - 强调文字颜色 2 7 2 2 3" xfId="279"/>
    <cellStyle name="强调文字颜色 1 7 4" xfId="280"/>
    <cellStyle name="20% - 强调文字颜色 1 2 5" xfId="281"/>
    <cellStyle name="标题 4 2 6 2" xfId="282"/>
    <cellStyle name="40% - 强调文字颜色 1 5 11" xfId="283"/>
    <cellStyle name="20% - 强调文字颜色 5 6 7" xfId="284"/>
    <cellStyle name="差 2 3" xfId="285"/>
    <cellStyle name="20% - 强调文字颜色 2 9 2 3 2" xfId="286"/>
    <cellStyle name="_0610合并报表 2" xfId="287"/>
    <cellStyle name="解释性文本 5 3" xfId="288"/>
    <cellStyle name="40% - 强调文字颜色 4 11 2" xfId="289"/>
    <cellStyle name="20% - 强调文字颜色 3 10 2" xfId="290"/>
    <cellStyle name="20% - 强调文字颜色 1 2 5 2" xfId="291"/>
    <cellStyle name="20% - 强调文字颜色 4 12 2 2 2" xfId="292"/>
    <cellStyle name="_0610合并报表 2 3" xfId="293"/>
    <cellStyle name="40% - 强调文字颜色 5 13 2 2 2" xfId="294"/>
    <cellStyle name="20% - 强调文字颜色 5 7 9" xfId="295"/>
    <cellStyle name="差 3 5" xfId="296"/>
    <cellStyle name="_08年资金分析表 2 2" xfId="297"/>
    <cellStyle name="20% - 强调文字颜色 5 6 9" xfId="298"/>
    <cellStyle name="差 2 5" xfId="299"/>
    <cellStyle name="_0610合并报表 4" xfId="300"/>
    <cellStyle name="解释性文本 5 5" xfId="301"/>
    <cellStyle name="_08年资金分析表 2" xfId="302"/>
    <cellStyle name="20% - 强调文字颜色 1 3 2 5" xfId="303"/>
    <cellStyle name="20% - 强调文字颜色 1 7 4 2" xfId="304"/>
    <cellStyle name="_08年资金分析表 2 3" xfId="305"/>
    <cellStyle name="_ET_STYLE_NoName_00__财务费用表18 2 2" xfId="306"/>
    <cellStyle name="_08年资金分析表 3" xfId="307"/>
    <cellStyle name="20% - 强调文字颜色 5 8 9" xfId="308"/>
    <cellStyle name="差 4 5" xfId="309"/>
    <cellStyle name="_08年资金分析表 3 2" xfId="310"/>
    <cellStyle name="40% - 强调文字颜色 4 11 3 3" xfId="311"/>
    <cellStyle name="60% - 强调文字颜色 3 13 2 5" xfId="312"/>
    <cellStyle name="好_账龄02 3" xfId="313"/>
    <cellStyle name="40% - 强调文字颜色 2 6 4" xfId="314"/>
    <cellStyle name="60% - 强调文字颜色 5 12 3 3" xfId="315"/>
    <cellStyle name="强调文字颜色 6 10 3" xfId="316"/>
    <cellStyle name="40% - 强调文字颜色 2 12 2 5" xfId="317"/>
    <cellStyle name="20% - 强调文字颜色 3 10 3 3" xfId="318"/>
    <cellStyle name="40% - 强调文字颜色 6 8 4 2" xfId="319"/>
    <cellStyle name="20% - 强调文字颜色 1 11 2 5" xfId="320"/>
    <cellStyle name="60% - 强调文字颜色 3 6 9" xfId="321"/>
    <cellStyle name="_08年资金分析表 4" xfId="322"/>
    <cellStyle name="_1" xfId="323"/>
    <cellStyle name="40% - 强调文字颜色 2 2 2 2 2" xfId="324"/>
    <cellStyle name="_2005审计报表及附注-中国建材股份模板（房屋）" xfId="325"/>
    <cellStyle name="20% - 强调文字颜色 1 2 3 2 2 2" xfId="326"/>
    <cellStyle name="40% - 强调文字颜色 2 14 4" xfId="327"/>
    <cellStyle name="_2006年年报审计PBC表（合并）" xfId="328"/>
    <cellStyle name="20% - 强调文字颜色 1 13 4" xfId="329"/>
    <cellStyle name="警告文本 10 2 2 2" xfId="330"/>
    <cellStyle name="20% - 强调文字颜色 1 5 2 2 3" xfId="331"/>
    <cellStyle name="_2006年年报审计PBC表-XX" xfId="332"/>
    <cellStyle name="40% - 强调文字颜色 2 12 2 2 2 2" xfId="333"/>
    <cellStyle name="汇总 4 4 2" xfId="334"/>
    <cellStyle name="输出 13 6 5" xfId="335"/>
    <cellStyle name="20% - 强调文字颜色 1 11 2 2 2 2" xfId="336"/>
    <cellStyle name="20% - 强调文字颜色 4 4 7" xfId="337"/>
    <cellStyle name="_2006年年报审计PBC表-XXX" xfId="338"/>
    <cellStyle name="_ET_STYLE_NoName_00__财务费用表18_7 3" xfId="339"/>
    <cellStyle name="20% - 强调文字颜色 4 3 7" xfId="340"/>
    <cellStyle name="20% - 强调文字颜色 4 3 2 5" xfId="341"/>
    <cellStyle name="强调文字颜色 4 8 6" xfId="342"/>
    <cellStyle name="_2006年年报审计PBC表-福州分公司" xfId="343"/>
    <cellStyle name="20% - 强调文字颜色 6 8 4 2 2" xfId="344"/>
    <cellStyle name="常规 5 3 2 2 7" xfId="345"/>
    <cellStyle name="_ET_STYLE_NoName_00__财务费用表18_6 3" xfId="346"/>
    <cellStyle name="40% - 强调文字颜色 2 2 2 5" xfId="347"/>
    <cellStyle name="_2006年年报审计PBC表-云南分公司" xfId="348"/>
    <cellStyle name="强调文字颜色 5 13 2 2" xfId="349"/>
    <cellStyle name="输出 8 12 2" xfId="350"/>
    <cellStyle name="40% - 强调文字颜色 2 3 11" xfId="351"/>
    <cellStyle name="20% - 强调文字颜色 1 5 4 3" xfId="352"/>
    <cellStyle name="20% - 强调文字颜色 3 7 2 2" xfId="353"/>
    <cellStyle name="_2006年年报审计填报资料" xfId="354"/>
    <cellStyle name="20% - 强调文字颜色 1 14 4" xfId="355"/>
    <cellStyle name="_ET_STYLE_NoName_00_" xfId="356"/>
    <cellStyle name="差 9 2 2" xfId="357"/>
    <cellStyle name="_ET_STYLE_NoName_00_ 2" xfId="358"/>
    <cellStyle name="差 9 2 2 2" xfId="359"/>
    <cellStyle name="20% - 强调文字颜色 3 4 12" xfId="360"/>
    <cellStyle name="_ET_STYLE_NoName_00_ 2 2" xfId="361"/>
    <cellStyle name="标题 2 2 8" xfId="362"/>
    <cellStyle name="差 9 2 2 2 2" xfId="363"/>
    <cellStyle name="_成本报表 3" xfId="364"/>
    <cellStyle name="标题 4 13 4" xfId="365"/>
    <cellStyle name="注释 13 3 2" xfId="366"/>
    <cellStyle name="_ET_STYLE_NoName_00_ 2 3" xfId="367"/>
    <cellStyle name="_成本报表 4" xfId="368"/>
    <cellStyle name="标题 4 13 5" xfId="369"/>
    <cellStyle name="注释 13 3 3" xfId="370"/>
    <cellStyle name="_ET_STYLE_NoName_00_ 3" xfId="371"/>
    <cellStyle name="差 9 2 2 3" xfId="372"/>
    <cellStyle name="_ET_STYLE_NoName_00__财务费用表18" xfId="373"/>
    <cellStyle name="强调文字颜色 4 5 5" xfId="374"/>
    <cellStyle name="40% - 强调文字颜色 1 13 3 2 2" xfId="375"/>
    <cellStyle name="20% - 强调文字颜色 3 9 3 3" xfId="376"/>
    <cellStyle name="_ET_STYLE_NoName_00__财务费用表18_3 2" xfId="377"/>
    <cellStyle name="40% - 强调文字颜色 3 5 2 2 2 2" xfId="378"/>
    <cellStyle name="_ET_STYLE_NoName_00__财务费用表18_9 2 2" xfId="379"/>
    <cellStyle name="40% - 强调文字颜色 2 7 9" xfId="380"/>
    <cellStyle name="_ET_STYLE_NoName_00__财务费用表18 2" xfId="381"/>
    <cellStyle name="强调文字颜色 4 5 5 2" xfId="382"/>
    <cellStyle name="强调文字颜色 6 11 8" xfId="383"/>
    <cellStyle name="20% - 强调文字颜色 1 7 4" xfId="384"/>
    <cellStyle name="40% - 强调文字颜色 1 13 3 2 2 2" xfId="385"/>
    <cellStyle name="常规 14" xfId="386"/>
    <cellStyle name="20% - 强调文字颜色 3 9 3 3 2" xfId="387"/>
    <cellStyle name="_ET_STYLE_NoName_00__财务费用表18_3 2 2" xfId="388"/>
    <cellStyle name="20% - 强调文字颜色 4 10" xfId="389"/>
    <cellStyle name="20% - 强调文字颜色 1 7 5" xfId="390"/>
    <cellStyle name="_ET_STYLE_NoName_00__财务费用表18 3" xfId="391"/>
    <cellStyle name="强调文字颜色 6 11 9" xfId="392"/>
    <cellStyle name="20% - 强调文字颜色 1 5 3 2 2" xfId="393"/>
    <cellStyle name="20% - 强调文字颜色 3 6 2 3" xfId="394"/>
    <cellStyle name="_ET_STYLE_NoName_00__财务费用表18_1" xfId="395"/>
    <cellStyle name="20% - 强调文字颜色 3 6 2 3 2" xfId="396"/>
    <cellStyle name="_ET_STYLE_NoName_00__财务费用表18_1 2" xfId="397"/>
    <cellStyle name="_ET_STYLE_NoName_00__财务费用表18_1 2 2" xfId="398"/>
    <cellStyle name="_ET_STYLE_NoName_00__财务费用表18_1 3" xfId="399"/>
    <cellStyle name="20% - 强调文字颜色 1 2 2 2 2" xfId="400"/>
    <cellStyle name="40% - 强调文字颜色 1 3 4" xfId="401"/>
    <cellStyle name="_ET_STYLE_NoName_00__财务费用表18_10" xfId="402"/>
    <cellStyle name="40% - 强调文字颜色 1 3 4 2" xfId="403"/>
    <cellStyle name="_ET_STYLE_NoName_00__财务费用表18_10 2" xfId="404"/>
    <cellStyle name="计算 9" xfId="405"/>
    <cellStyle name="20% - 强调文字颜色 6 12 3" xfId="406"/>
    <cellStyle name="好 9 7" xfId="407"/>
    <cellStyle name="20% - 强调文字颜色 6 10 10" xfId="408"/>
    <cellStyle name="60% - 强调文字颜色 1 8 2 2 3" xfId="409"/>
    <cellStyle name="40% - 强调文字颜色 1 3 4 2 2" xfId="410"/>
    <cellStyle name="_ET_STYLE_NoName_00__财务费用表18_10 2 2" xfId="411"/>
    <cellStyle name="计算 9 2" xfId="412"/>
    <cellStyle name="20% - 强调文字颜色 6 12 3 2" xfId="413"/>
    <cellStyle name="20% - 强调文字颜色 4 13 2 4" xfId="414"/>
    <cellStyle name="输出 5 12 2" xfId="415"/>
    <cellStyle name="40% - 强调文字颜色 1 3 4 3" xfId="416"/>
    <cellStyle name="_ET_STYLE_NoName_00__财务费用表18_10 3" xfId="417"/>
    <cellStyle name="20% - 强调文字颜色 6 12 4" xfId="418"/>
    <cellStyle name="好 9 8" xfId="419"/>
    <cellStyle name="20% - 强调文字颜色 6 10 11" xfId="420"/>
    <cellStyle name="40% - 强调文字颜色 1 3 5 2" xfId="421"/>
    <cellStyle name="_ET_STYLE_NoName_00__财务费用表18_11 2" xfId="422"/>
    <cellStyle name="20% - 强调文字颜色 6 13 3" xfId="423"/>
    <cellStyle name="20% - 强调文字颜色 6 13 3 2" xfId="424"/>
    <cellStyle name="_ET_STYLE_NoName_00__财务费用表18_11 2 2" xfId="425"/>
    <cellStyle name="20% - 强调文字颜色 6 13 4" xfId="426"/>
    <cellStyle name="警告文本 11 2 2 2" xfId="427"/>
    <cellStyle name="_ET_STYLE_NoName_00__财务费用表18_11 3" xfId="428"/>
    <cellStyle name="40% - 强调文字颜色 1 3 6" xfId="429"/>
    <cellStyle name="_ET_STYLE_NoName_00__财务费用表18_12" xfId="430"/>
    <cellStyle name="20% - 强调文字颜色 2 3 5 2" xfId="431"/>
    <cellStyle name="40% - 强调文字颜色 1 3 6 2" xfId="432"/>
    <cellStyle name="_ET_STYLE_NoName_00__财务费用表18_12 2" xfId="433"/>
    <cellStyle name="20% - 强调文字颜色 6 14 3" xfId="434"/>
    <cellStyle name="千位分隔 2 7" xfId="435"/>
    <cellStyle name="20% - 强调文字颜色 6 14 3 2" xfId="436"/>
    <cellStyle name="千位分隔 2 7 2" xfId="437"/>
    <cellStyle name="_ET_STYLE_NoName_00__财务费用表18_12 2 2" xfId="438"/>
    <cellStyle name="40% - 强调文字颜色 1 12 6" xfId="439"/>
    <cellStyle name="40% - 强调文字颜色 1 12 2 2 2" xfId="440"/>
    <cellStyle name="20% - 强调文字颜色 2 8 3 3" xfId="441"/>
    <cellStyle name="60% - 强调文字颜色 1 2 4 2 3" xfId="442"/>
    <cellStyle name="{Comma [0]}" xfId="443"/>
    <cellStyle name="60% - 强调文字颜色 2 13 6" xfId="444"/>
    <cellStyle name="20% - 强调文字颜色 6 14 4" xfId="445"/>
    <cellStyle name="千位分隔 2 8" xfId="446"/>
    <cellStyle name="_ET_STYLE_NoName_00__财务费用表18_12 3" xfId="447"/>
    <cellStyle name="40% - 强调文字颜色 2 2 4 3 2" xfId="448"/>
    <cellStyle name="20% - 强调文字颜色 3 6 2 4" xfId="449"/>
    <cellStyle name="_ET_STYLE_NoName_00__财务费用表18_2" xfId="450"/>
    <cellStyle name="20% - 强调文字颜色 3 9 2 3" xfId="451"/>
    <cellStyle name="_ET_STYLE_NoName_00__财务费用表18_2 2" xfId="452"/>
    <cellStyle name="40% - 强调文字颜色 2 14" xfId="453"/>
    <cellStyle name="输入 13 4 2" xfId="454"/>
    <cellStyle name="20% - 强调文字颜色 4 6 5 2" xfId="455"/>
    <cellStyle name="20% - 强调文字颜色 1 13" xfId="456"/>
    <cellStyle name="40% - 强调文字颜色 2 15" xfId="457"/>
    <cellStyle name="常规 5 2 6 2" xfId="458"/>
    <cellStyle name="输入 13 4 3" xfId="459"/>
    <cellStyle name="20% - 强调文字颜色 1 14" xfId="460"/>
    <cellStyle name="20% - 强调文字颜色 3 9 2 4" xfId="461"/>
    <cellStyle name="_ET_STYLE_NoName_00__财务费用表18_2 3" xfId="462"/>
    <cellStyle name="20% - 强调文字颜色 1 2 2 3 2" xfId="463"/>
    <cellStyle name="40% - 强调文字颜色 1 13 3 2" xfId="464"/>
    <cellStyle name="常规 4 2 3 4" xfId="465"/>
    <cellStyle name="20% - 强调文字颜色 3 6 2 5" xfId="466"/>
    <cellStyle name="_ET_STYLE_NoName_00__财务费用表18_3" xfId="467"/>
    <cellStyle name="链接单元格 2 4 2 2" xfId="468"/>
    <cellStyle name="40% - 强调文字颜色 3 5 2 2 2" xfId="469"/>
    <cellStyle name="_ET_STYLE_NoName_00__财务费用表18_9 2" xfId="470"/>
    <cellStyle name="40% - 强调文字颜色 1 13 3 3" xfId="471"/>
    <cellStyle name="_ET_STYLE_NoName_00__财务费用表18_4" xfId="472"/>
    <cellStyle name="强调文字颜色 5 2 2 2 2" xfId="473"/>
    <cellStyle name="40% - 强调文字颜色 3 5 2 2 3" xfId="474"/>
    <cellStyle name="_ET_STYLE_NoName_00__财务费用表18_9 3" xfId="475"/>
    <cellStyle name="60% - 强调文字颜色 2 6 3 2" xfId="476"/>
    <cellStyle name="40% - 强调文字颜色 1 13 3 3 2" xfId="477"/>
    <cellStyle name="20% - 强调文字颜色 3 9 4 3" xfId="478"/>
    <cellStyle name="_ET_STYLE_NoName_00__财务费用表18_4 2" xfId="479"/>
    <cellStyle name="强调文字颜色 5 2 2 2 2 2" xfId="480"/>
    <cellStyle name="_ET_STYLE_NoName_00__母公司利润表06_1" xfId="481"/>
    <cellStyle name="_ET_STYLE_NoName_00__财务费用表18_4 2 2" xfId="482"/>
    <cellStyle name="适中 6 10" xfId="483"/>
    <cellStyle name="_ET_STYLE_NoName_00__母公司利润表06_1 2" xfId="484"/>
    <cellStyle name="_ET_STYLE_NoName_00__财务费用表18_4 3" xfId="485"/>
    <cellStyle name="强调文字颜色 5 2 2 2 2 3" xfId="486"/>
    <cellStyle name="_ET_STYLE_NoName_00__母公司利润表06_2" xfId="487"/>
    <cellStyle name="40% - 强调文字颜色 3 12 4 2" xfId="488"/>
    <cellStyle name="Header1 2 3" xfId="489"/>
    <cellStyle name="注释 14 8" xfId="490"/>
    <cellStyle name="40% - 强调文字颜色 1 13 3 4" xfId="491"/>
    <cellStyle name="20% - 强调文字颜色 2 11 4 2" xfId="492"/>
    <cellStyle name="_ET_STYLE_NoName_00__财务费用表18_5" xfId="493"/>
    <cellStyle name="常规 2 2 5 2 2 2" xfId="494"/>
    <cellStyle name="强调文字颜色 2 3 7 2" xfId="495"/>
    <cellStyle name="强调文字颜色 5 2 2 2 3" xfId="496"/>
    <cellStyle name="20% - 强调文字颜色 1 13 7 2" xfId="497"/>
    <cellStyle name="40% - 强调文字颜色 3 12 4 2 2" xfId="498"/>
    <cellStyle name="20% - 强调文字颜色 2 11 4 2 2" xfId="499"/>
    <cellStyle name="_ET_STYLE_NoName_00__财务费用表18_5 2" xfId="500"/>
    <cellStyle name="_ET_STYLE_NoName_00__财务费用表18_5 2 2" xfId="501"/>
    <cellStyle name="_ET_STYLE_NoName_00__财务费用表18_5 3" xfId="502"/>
    <cellStyle name="40% - 强调文字颜色 3 12 4 3" xfId="503"/>
    <cellStyle name="20% - 强调文字颜色 5 7 2 3 2" xfId="504"/>
    <cellStyle name="注释 14 9" xfId="505"/>
    <cellStyle name="40% - 强调文字颜色 1 9 5 2" xfId="506"/>
    <cellStyle name="20% - 强调文字颜色 2 11 4 3" xfId="507"/>
    <cellStyle name="_ET_STYLE_NoName_00__财务费用表18_6" xfId="508"/>
    <cellStyle name="_ET_STYLE_NoName_00__财务费用表18_6 2" xfId="509"/>
    <cellStyle name="20% - 强调文字颜色 1 10 10" xfId="510"/>
    <cellStyle name="60% - 强调文字颜色 1 3 2 2 3" xfId="511"/>
    <cellStyle name="20% - 强调文字颜色 3 6 3 3" xfId="512"/>
    <cellStyle name="40% - 强调文字颜色 2 11 10" xfId="513"/>
    <cellStyle name="_ET_STYLE_NoName_00__财务费用表18_6 2 2" xfId="514"/>
    <cellStyle name="_ET_STYLE_NoName_00__财务费用表18_7" xfId="515"/>
    <cellStyle name="20% - 强调文字颜色 3 3 2 2 2" xfId="516"/>
    <cellStyle name="Header2 3 14 2" xfId="517"/>
    <cellStyle name="20% - 强调文字颜色 4 10 5 2" xfId="518"/>
    <cellStyle name="_ET_STYLE_NoName_00__财务费用表18_7 2" xfId="519"/>
    <cellStyle name="20% - 强调文字颜色 3 3 2 2 2 2" xfId="520"/>
    <cellStyle name="_ET_STYLE_NoName_00__财务费用表18_7 2 2" xfId="521"/>
    <cellStyle name="_ET_STYLE_NoName_00__财务费用表18_8" xfId="522"/>
    <cellStyle name="20% - 强调文字颜色 3 3 2 2 3" xfId="523"/>
    <cellStyle name="_ET_STYLE_NoName_00__财务费用表18_8 2" xfId="524"/>
    <cellStyle name="20% - 强调文字颜色 4 2 10" xfId="525"/>
    <cellStyle name="_ET_STYLE_NoName_00__财务费用表18_8 2 2" xfId="526"/>
    <cellStyle name="60% - 强调文字颜色 2 6 2 2" xfId="527"/>
    <cellStyle name="_ET_STYLE_NoName_00__财务费用表18_8 3" xfId="528"/>
    <cellStyle name="20% - 强调文字颜色 4 2 11" xfId="529"/>
    <cellStyle name="_ET_STYLE_NoName_00__财务费用表18_9" xfId="530"/>
    <cellStyle name="40% - 强调文字颜色 3 5 2 2" xfId="531"/>
    <cellStyle name="60% - 强调文字颜色 5 8 6" xfId="532"/>
    <cellStyle name="20% - 强调文字颜色 1 13 4 2" xfId="533"/>
    <cellStyle name="强调文字颜色 2 3 4 2" xfId="534"/>
    <cellStyle name="_ET_STYLE_NoName_00__母公司利润表06" xfId="535"/>
    <cellStyle name="20% - 强调文字颜色 1 2 6" xfId="536"/>
    <cellStyle name="20% - 强调文字颜色 3 11" xfId="537"/>
    <cellStyle name="60% - 强调文字颜色 3 3 3 2 2" xfId="538"/>
    <cellStyle name="40% - 强调文字颜色 4 12" xfId="539"/>
    <cellStyle name="Header2 3" xfId="540"/>
    <cellStyle name="60% - 强调文字颜色 5 8 6 2" xfId="541"/>
    <cellStyle name="20% - 强调文字颜色 1 13 4 2 2" xfId="542"/>
    <cellStyle name="_ET_STYLE_NoName_00__母公司利润表06 2" xfId="543"/>
    <cellStyle name="常规 4 2 6 2" xfId="544"/>
    <cellStyle name="40% - 强调文字颜色 2 5" xfId="545"/>
    <cellStyle name="20% - 强调文字颜色 1 2 7" xfId="546"/>
    <cellStyle name="20% - 强调文字颜色 3 12" xfId="547"/>
    <cellStyle name="_ET_STYLE_NoName_00__母公司利润表06 3" xfId="548"/>
    <cellStyle name="40% - 强调文字颜色 2 6" xfId="549"/>
    <cellStyle name="20% - 强调文字颜色 1 2 8" xfId="550"/>
    <cellStyle name="20% - 强调文字颜色 3 13" xfId="551"/>
    <cellStyle name="60% - 强调文字颜色 2 7 6" xfId="552"/>
    <cellStyle name="20% - 强调文字颜色 1 10 3 2" xfId="553"/>
    <cellStyle name="60% - 强调文字颜色 1 13 2 4" xfId="554"/>
    <cellStyle name="40% - 强调文字颜色 2 11 3 2" xfId="555"/>
    <cellStyle name="_ET_STYLE_NoName_00__母公司利润表06 4" xfId="556"/>
    <cellStyle name="20% - 强调文字颜色 5 2 2 2" xfId="557"/>
    <cellStyle name="40% - 强调文字颜色 1 13 6 2" xfId="558"/>
    <cellStyle name="40% - 强调文字颜色 2 7" xfId="559"/>
    <cellStyle name="差_账龄02 3 3" xfId="560"/>
    <cellStyle name="20% - 强调文字颜色 1 5 4 2 2" xfId="561"/>
    <cellStyle name="_ET_STYLE_NoName_00__母公司利润表06_1 3" xfId="562"/>
    <cellStyle name="输出 7 5 3" xfId="563"/>
    <cellStyle name="_人员分工备忘录" xfId="564"/>
    <cellStyle name="_ET_STYLE_NoName_00__母公司利润表06_1 4" xfId="565"/>
    <cellStyle name="标题 3 3 2 2 2 2" xfId="566"/>
    <cellStyle name="20% - 强调文字颜色 1 12" xfId="567"/>
    <cellStyle name="_ET_STYLE_NoName_00__母公司利润表06_2 4" xfId="568"/>
    <cellStyle name="40% - 强调文字颜色 2 13" xfId="569"/>
    <cellStyle name="20% - 强调文字颜色 1 5 3 3" xfId="570"/>
    <cellStyle name="_ET_STYLE_NoName_00__母公司现金流量表09" xfId="571"/>
    <cellStyle name="40% - 强调文字颜色 1 2 3 2 2" xfId="572"/>
    <cellStyle name="20% - 强调文字颜色 1 5 3 3 2" xfId="573"/>
    <cellStyle name="_ET_STYLE_NoName_00__母公司现金流量表09 2" xfId="574"/>
    <cellStyle name="千位分隔[0] 2 4 3" xfId="575"/>
    <cellStyle name="60% - 强调文字颜色 3 7 4 2 2" xfId="576"/>
    <cellStyle name="20% - 强调文字颜色 5 10 4" xfId="577"/>
    <cellStyle name="40% - 强调文字颜色 1 2 3 2 2 2" xfId="578"/>
    <cellStyle name="_ET_STYLE_NoName_00__母公司现金流量表09 3" xfId="579"/>
    <cellStyle name="20% - 强调文字颜色 3 8 2 2" xfId="580"/>
    <cellStyle name="Normal - Style1" xfId="581"/>
    <cellStyle name="20% - 强调文字颜色 5 10 5" xfId="582"/>
    <cellStyle name="常规 4 2 2 3 2" xfId="583"/>
    <cellStyle name="_ET_STYLE_NoName_00__母公司现金流量表09 4" xfId="584"/>
    <cellStyle name="20% - 强调文字颜色 3 8 2 3" xfId="585"/>
    <cellStyle name="20% - 强调文字颜色 5 10 6" xfId="586"/>
    <cellStyle name="输入 2 6 5" xfId="587"/>
    <cellStyle name="好_06年瑞祥泰" xfId="588"/>
    <cellStyle name="40% - 强调文字颜色 6 11 6" xfId="589"/>
    <cellStyle name="40% - 强调文字颜色 2 2 4 2 2 2" xfId="590"/>
    <cellStyle name="_ET_STYLE_NoName_00__研发费用明细表31" xfId="591"/>
    <cellStyle name="20% - 强调文字颜色 6 7 6" xfId="592"/>
    <cellStyle name="强调文字颜色 4 7 11" xfId="593"/>
    <cellStyle name="_长期借款－江阴" xfId="594"/>
    <cellStyle name="40% - 强调文字颜色 1 12 3" xfId="595"/>
    <cellStyle name="注释 10 16" xfId="596"/>
    <cellStyle name="60% - 强调文字颜色 3 8 3 3" xfId="597"/>
    <cellStyle name="_ET_STYLE_NoName_00__研发费用明细表31 2" xfId="598"/>
    <cellStyle name="20% - 强调文字颜色 6 7 6 2" xfId="599"/>
    <cellStyle name="_科目核对表" xfId="600"/>
    <cellStyle name="60% - 强调文字颜色 3 8 3 4" xfId="601"/>
    <cellStyle name="_ET_STYLE_NoName_00__研发费用明细表31 3" xfId="602"/>
    <cellStyle name="_ET_STYLE_NoName_00__研发费用明细表31 4" xfId="603"/>
    <cellStyle name="注释 4 5 5" xfId="604"/>
    <cellStyle name="标题 2 5 2 4" xfId="605"/>
    <cellStyle name="Header2 2 2 2 8 3" xfId="606"/>
    <cellStyle name="_ET_STYLE_NoName_00__研发费用明细表31_1" xfId="607"/>
    <cellStyle name="20% - 强调文字颜色 6 8 3 2 2 2" xfId="608"/>
    <cellStyle name="40% - 强调文字颜色 3 3 2 5" xfId="609"/>
    <cellStyle name="Header2 2 2 2 8 3 2" xfId="610"/>
    <cellStyle name="_ET_STYLE_NoName_00__研发费用明细表31_1 2" xfId="611"/>
    <cellStyle name="20% - 强调文字颜色 1 12 2" xfId="612"/>
    <cellStyle name="40% - 强调文字颜色 2 13 2" xfId="613"/>
    <cellStyle name="_ET_STYLE_NoName_00__研发费用明细表31_1 3" xfId="614"/>
    <cellStyle name="20% - 强调文字颜色 3 9 2 2 2" xfId="615"/>
    <cellStyle name="20% - 强调文字颜色 1 12 3" xfId="616"/>
    <cellStyle name="60% - 强调文字颜色 3 14 3" xfId="617"/>
    <cellStyle name="60% - 强调文字颜色 1 7 2 2 3" xfId="618"/>
    <cellStyle name="20% - 强调文字颜色 5 10 10" xfId="619"/>
    <cellStyle name="40% - 强调文字颜色 2 13 3" xfId="620"/>
    <cellStyle name="计算 7 10" xfId="621"/>
    <cellStyle name="60% - 强调文字颜色 6 9 3 3 2" xfId="622"/>
    <cellStyle name="_ET_STYLE_NoName_00__研发费用明细表31_1 4" xfId="623"/>
    <cellStyle name="20% - 强调文字颜色 3 9 2 2 3" xfId="624"/>
    <cellStyle name="20% - 强调文字颜色 1 10 8" xfId="625"/>
    <cellStyle name="40% - 强调文字颜色 2 11 8" xfId="626"/>
    <cellStyle name="_PBC审核提示" xfId="627"/>
    <cellStyle name="20% - 强调文字颜色 1 13 5" xfId="628"/>
    <cellStyle name="_宝丽华房地产20051231" xfId="629"/>
    <cellStyle name="20% - 强调文字颜色 1 11 6 2" xfId="630"/>
    <cellStyle name="强调文字颜色 3 12 10" xfId="631"/>
    <cellStyle name="标题 3 2" xfId="632"/>
    <cellStyle name="40% - 强调文字颜色 2 12 6 2" xfId="633"/>
    <cellStyle name="计算 15 2" xfId="634"/>
    <cellStyle name="_保证金-企业填写部分" xfId="635"/>
    <cellStyle name="20% - 强调文字颜色 4 6 2 3" xfId="636"/>
    <cellStyle name="60% - 强调文字颜色 3 6 6" xfId="637"/>
    <cellStyle name="20% - 强调文字颜色 1 11 2 2" xfId="638"/>
    <cellStyle name="40% - 强调文字颜色 1 2 2 4" xfId="639"/>
    <cellStyle name="40% - 强调文字颜色 2 12 2 2" xfId="640"/>
    <cellStyle name="_北新房屋2004年审-刘" xfId="641"/>
    <cellStyle name="40% - 强调文字颜色 2 7 3 2 3" xfId="642"/>
    <cellStyle name="_北新股份2005年审工作底稿" xfId="643"/>
    <cellStyle name="20% - 强调文字颜色 1 2 3 3" xfId="644"/>
    <cellStyle name="20% - 强调文字颜色 1 12 9" xfId="645"/>
    <cellStyle name="_北新建材关连交易基础表051230（10－12月版）更新稿" xfId="646"/>
    <cellStyle name="20% - 强调文字颜色 3 7 2 3 2" xfId="647"/>
    <cellStyle name="40% - 强调文字颜色 2 13 9" xfId="648"/>
    <cellStyle name="20% - 强调文字颜色 1 2 2 2 2 2 2" xfId="649"/>
    <cellStyle name="常规 7 4 3 2 2" xfId="650"/>
    <cellStyle name="20% - 强调文字颜色 4 10 3 2 3" xfId="651"/>
    <cellStyle name="20% - 强调文字颜色 6 8 2 3 2" xfId="652"/>
    <cellStyle name="_北新建材-会计报表附注模版" xfId="653"/>
    <cellStyle name="强调文字颜色 3 8 9" xfId="654"/>
    <cellStyle name="20% - 强调文字颜色 1 2 10" xfId="655"/>
    <cellStyle name="好_账龄02. 2 2 3" xfId="656"/>
    <cellStyle name="_北新龙之星2004年审工作底稿" xfId="657"/>
    <cellStyle name="40% - 强调文字颜色 6 10 3 2 2" xfId="658"/>
    <cellStyle name="40% - 强调文字颜色 2 5 5 2" xfId="659"/>
    <cellStyle name="60% - 强调文字颜色 5 6 6 2" xfId="660"/>
    <cellStyle name="20% - 强调文字颜色 1 13 2 2 2" xfId="661"/>
    <cellStyle name="40% - 强调文字颜色 2 14 2 2 2" xfId="662"/>
    <cellStyle name="注释 24" xfId="663"/>
    <cellStyle name="注释 19" xfId="664"/>
    <cellStyle name="输入 7 14" xfId="665"/>
    <cellStyle name="_北新物流2005底稿-刘" xfId="666"/>
    <cellStyle name="强调文字颜色 2 2 2 3 2" xfId="667"/>
    <cellStyle name="20% - 强调文字颜色 1 4 2" xfId="668"/>
    <cellStyle name="40% - 强调文字颜色 6 10 2 4" xfId="669"/>
    <cellStyle name="40% - 强调文字颜色 2 4 7" xfId="670"/>
    <cellStyle name="20% - 强调文字颜色 1 12 2 3 2" xfId="671"/>
    <cellStyle name="强调文字颜色 5 10 9" xfId="672"/>
    <cellStyle name="Header2 2 7" xfId="673"/>
    <cellStyle name="_北新置换memo" xfId="674"/>
    <cellStyle name="20% - 强调文字颜色 6 10 6 2" xfId="675"/>
    <cellStyle name="40% - 强调文字颜色 2 13 2 3 2" xfId="676"/>
    <cellStyle name="40% - 强调文字颜色 3 6 2 2" xfId="677"/>
    <cellStyle name="_成本报表" xfId="678"/>
    <cellStyle name="20% - 强调文字颜色 3 8 3 3 2" xfId="679"/>
    <cellStyle name="20% - 强调文字颜色 5 11 6 2" xfId="680"/>
    <cellStyle name="40% - 强调文字颜色 1 13 2 2 2 2" xfId="681"/>
    <cellStyle name="标题 4 13 3 2" xfId="682"/>
    <cellStyle name="_成本报表 2 2" xfId="683"/>
    <cellStyle name="40% - 强调文字颜色 1 7 5" xfId="684"/>
    <cellStyle name="标题 4 13 3 3" xfId="685"/>
    <cellStyle name="_成本报表 2 3" xfId="686"/>
    <cellStyle name="40% - 强调文字颜色 1 7 6" xfId="687"/>
    <cellStyle name="百分比 3 2 3 3 2" xfId="688"/>
    <cellStyle name="_存货结转测试" xfId="689"/>
    <cellStyle name="20% - 强调文字颜色 1 3 3 3 2" xfId="690"/>
    <cellStyle name="_存货数量与明细05.12" xfId="691"/>
    <cellStyle name="20% - 强调文字颜色 4 17" xfId="692"/>
    <cellStyle name="强调文字颜色 2 2 2 2" xfId="693"/>
    <cellStyle name="20% - 强调文字颜色 1 3" xfId="694"/>
    <cellStyle name="60% - 强调文字颜色 4 6 6" xfId="695"/>
    <cellStyle name="20% - 强调文字颜色 1 12 2 2" xfId="696"/>
    <cellStyle name="好 7 9" xfId="697"/>
    <cellStyle name="_动力厂2004年审工作底稿-刘" xfId="698"/>
    <cellStyle name="20% - 强调文字颜色 6 10 5" xfId="699"/>
    <cellStyle name="40% - 强调文字颜色 1 3 2 4" xfId="700"/>
    <cellStyle name="40% - 强调文字颜色 2 13 13" xfId="701"/>
    <cellStyle name="40% - 强调文字颜色 2 13 2 2" xfId="702"/>
    <cellStyle name="20% - 强调文字颜色 1 2 4 2" xfId="703"/>
    <cellStyle name="强调文字颜色 1 7 3 2" xfId="704"/>
    <cellStyle name="20% - 强调文字颜色 2 7 2 2 2 2" xfId="705"/>
    <cellStyle name="常规 8 11" xfId="706"/>
    <cellStyle name="40% - 强调文字颜色 4 10 2" xfId="707"/>
    <cellStyle name="20% - 强调文字颜色 1 13 8" xfId="708"/>
    <cellStyle name="20% - 强调文字颜色 4 9 2 2" xfId="709"/>
    <cellStyle name="_分工" xfId="710"/>
    <cellStyle name="40% - 强调文字颜色 1 14 2 3" xfId="711"/>
    <cellStyle name="输出 12 15" xfId="712"/>
    <cellStyle name="_工程施工项目现场审计提示" xfId="713"/>
    <cellStyle name="60% - 强调文字颜色 5 7 8" xfId="714"/>
    <cellStyle name="20% - 强调文字颜色 1 13 3 4" xfId="715"/>
    <cellStyle name="20% - 强调文字颜色 3 12 4 2" xfId="716"/>
    <cellStyle name="20% - 强调文字颜色 5 2 4 2 3" xfId="717"/>
    <cellStyle name="汇总 7 4" xfId="718"/>
    <cellStyle name="40% - 强调文字颜色 6 8 4 2 2" xfId="719"/>
    <cellStyle name="20% - 强调文字颜色 3 10 3 3 2" xfId="720"/>
    <cellStyle name="强调文字颜色 6 10 3 2" xfId="721"/>
    <cellStyle name="60% - 强调文字颜色 5 12 3 3 2" xfId="722"/>
    <cellStyle name="40% - 强调文字颜色 2 6 4 2" xfId="723"/>
    <cellStyle name="输出 10 10 2" xfId="724"/>
    <cellStyle name="40% - 强调文字颜色 2 7 10" xfId="725"/>
    <cellStyle name="强调文字颜色 4 11 2 4" xfId="726"/>
    <cellStyle name="好_账龄02 3 2" xfId="727"/>
    <cellStyle name="_关联交易" xfId="728"/>
    <cellStyle name="40% - 强调文字颜色 4 11 3 3 2" xfId="729"/>
    <cellStyle name="20% - 强调文字颜色 1 13 3 2 2 2" xfId="730"/>
    <cellStyle name="_关联交易、往来统计表" xfId="731"/>
    <cellStyle name="_合并公司2006年度科目明细表(定稿)" xfId="732"/>
    <cellStyle name="60% - 强调文字颜色 1 3 4 3" xfId="733"/>
    <cellStyle name="20% - 强调文字颜色 3 8 4" xfId="734"/>
    <cellStyle name="20% - 强调文字颜色 4 2 7 2" xfId="735"/>
    <cellStyle name="链接单元格 10 7" xfId="736"/>
    <cellStyle name="_黑猫焦化附注" xfId="737"/>
    <cellStyle name="20% - 强调文字颜色 4 14 3 2" xfId="738"/>
    <cellStyle name="_刘青分工填列信息统计" xfId="739"/>
    <cellStyle name="20% - 强调文字颜色 1 8" xfId="740"/>
    <cellStyle name="20% - 强调文字颜色 4 6 2 3 2" xfId="741"/>
    <cellStyle name="20% - 强调文字颜色 1 3 3 2 2 2" xfId="742"/>
    <cellStyle name="_刘青分工－子公司审计模板-电务" xfId="743"/>
    <cellStyle name="20% - 强调文字颜色 1 2" xfId="744"/>
    <cellStyle name="60% - 强调文字颜色 4 6 5" xfId="745"/>
    <cellStyle name="20% - 强调文字颜色 1 12 12" xfId="746"/>
    <cellStyle name="好 7 8" xfId="747"/>
    <cellStyle name="20% - 强调文字颜色 6 10 4" xfId="748"/>
    <cellStyle name="40% - 强调文字颜色 1 3 2 3" xfId="749"/>
    <cellStyle name="常规 9 2 2 3" xfId="750"/>
    <cellStyle name="40% - 强调文字颜色 2 13 12" xfId="751"/>
    <cellStyle name="强调文字颜色 6 11 3 2 2" xfId="752"/>
    <cellStyle name="40% - 强调文字颜色 2 7 4 2 2" xfId="753"/>
    <cellStyle name="_母PL" xfId="754"/>
    <cellStyle name="20% - 强调文字颜色 1 13 2 2 3" xfId="755"/>
    <cellStyle name="_年审筹资循环资料清单" xfId="756"/>
    <cellStyle name="40% - 强调文字颜色 3 4 3 2 2" xfId="757"/>
    <cellStyle name="_审计提示模版-母公司部分" xfId="758"/>
    <cellStyle name="20% - 强调文字颜色 1 2 3 3 2" xfId="759"/>
    <cellStyle name="输出 8 6 5" xfId="760"/>
    <cellStyle name="常规 8 5 3" xfId="761"/>
    <cellStyle name="40% - 强调文字颜色 2 10 2 4" xfId="762"/>
    <cellStyle name="标题 1 10 3" xfId="763"/>
    <cellStyle name="60% - 强调文字颜色 1 8 2 4" xfId="764"/>
    <cellStyle name="20% - 强调文字颜色 2 12 2 2 2" xfId="765"/>
    <cellStyle name="60% - 强调文字颜色 4 14 2 2 2" xfId="766"/>
    <cellStyle name="_铁鸿源－刘青分工－子公司审计模板" xfId="767"/>
    <cellStyle name="20% - 强调文字颜色 6 14" xfId="768"/>
    <cellStyle name="输出 7 15 2" xfId="769"/>
    <cellStyle name="40% - 强调文字颜色 3 13 2 2 2" xfId="770"/>
    <cellStyle name="注释 13 3 4" xfId="771"/>
    <cellStyle name="标题 4 13 6" xfId="772"/>
    <cellStyle name="_银行询证函统计－大表" xfId="773"/>
    <cellStyle name="20% - 强调文字颜色 1 4 6" xfId="774"/>
    <cellStyle name="_郑州二分" xfId="775"/>
    <cellStyle name="_子公司筹资循环－刘青" xfId="776"/>
    <cellStyle name="注释 3 2 5" xfId="777"/>
    <cellStyle name="输入 10 12" xfId="778"/>
    <cellStyle name="20% - 强调文字颜色 5 13 4 2" xfId="779"/>
    <cellStyle name="19990216" xfId="780"/>
    <cellStyle name="40% - 强调文字颜色 2 5 2 2 3" xfId="781"/>
    <cellStyle name="标题 2 5 2 3 2" xfId="782"/>
    <cellStyle name="Header2 2 2 2 8 2 2" xfId="783"/>
    <cellStyle name="{Comma}" xfId="784"/>
    <cellStyle name="千位分隔 4 2 3 3" xfId="785"/>
    <cellStyle name="常规 5 9" xfId="786"/>
    <cellStyle name="60% - 强调文字颜色 4 13 2 3" xfId="787"/>
    <cellStyle name="60% - 强调文字颜色 3 9 3 2 2 2" xfId="788"/>
    <cellStyle name="{Date}" xfId="789"/>
    <cellStyle name="好 13 9" xfId="790"/>
    <cellStyle name="20% - 强调文字颜色 2 11 2 3" xfId="791"/>
    <cellStyle name="40% - 强调文字颜色 1 9 3 2" xfId="792"/>
    <cellStyle name="注释 12 9" xfId="793"/>
    <cellStyle name="输出 2 16" xfId="794"/>
    <cellStyle name="40% - 强调文字颜色 3 12 2 3" xfId="795"/>
    <cellStyle name="40% - 强调文字颜色 4 6 2 3" xfId="796"/>
    <cellStyle name="{Thousand [0]}" xfId="797"/>
    <cellStyle name="{Month}" xfId="798"/>
    <cellStyle name="20% - 强调文字颜色 6 13 3 4" xfId="799"/>
    <cellStyle name="20% - 强调文字颜色 6 2 4 2 3" xfId="800"/>
    <cellStyle name="{Percent}" xfId="801"/>
    <cellStyle name="强调文字颜色 5 4 3 2 2" xfId="802"/>
    <cellStyle name="40% - 强调文字颜色 1 9 8" xfId="803"/>
    <cellStyle name="适中 3" xfId="804"/>
    <cellStyle name="60% - 强调文字颜色 1 10 5 2" xfId="805"/>
    <cellStyle name="{Thousand}" xfId="806"/>
    <cellStyle name="20% - 强调文字颜色 5 14 3" xfId="807"/>
    <cellStyle name="{Z'0000(1 dec)}" xfId="808"/>
    <cellStyle name="{Z'0000(4 dec)}" xfId="809"/>
    <cellStyle name="20% - 强调文字颜色 1 4 5" xfId="810"/>
    <cellStyle name="60% - 强调文字颜色 6 2 4 2" xfId="811"/>
    <cellStyle name="60% - 强调文字颜色 2 5 3 2 2" xfId="812"/>
    <cellStyle name="0.00%" xfId="813"/>
    <cellStyle name="40% - 强调文字颜色 3 6 2 5" xfId="814"/>
    <cellStyle name="00" xfId="815"/>
    <cellStyle name="20% - 强调文字颜色 1 10 11" xfId="816"/>
    <cellStyle name="20% - 强调文字颜色 3 6 3 4" xfId="817"/>
    <cellStyle name="40% - 强调文字颜色 2 11 11" xfId="818"/>
    <cellStyle name="20% - 强调文字颜色 1 10 12" xfId="819"/>
    <cellStyle name="40% - 强调文字颜色 1 13 4 2" xfId="820"/>
    <cellStyle name="40% - 强调文字颜色 2 11 12" xfId="821"/>
    <cellStyle name="20% - 强调文字颜色 1 10 2" xfId="822"/>
    <cellStyle name="40% - 强调文字颜色 1 13 10" xfId="823"/>
    <cellStyle name="40% - 强调文字颜色 2 11 2" xfId="824"/>
    <cellStyle name="60% - 强调文字颜色 2 6 6" xfId="825"/>
    <cellStyle name="20% - 强调文字颜色 1 10 2 2" xfId="826"/>
    <cellStyle name="输出 9 6 3" xfId="827"/>
    <cellStyle name="40% - 强调文字颜色 2 11 2 2" xfId="828"/>
    <cellStyle name="40% - 强调文字颜色 2 7 2 2 3" xfId="829"/>
    <cellStyle name="20% - 强调文字颜色 1 2 9" xfId="830"/>
    <cellStyle name="20% - 强调文字颜色 3 14" xfId="831"/>
    <cellStyle name="注释 21 6 2" xfId="832"/>
    <cellStyle name="注释 16 6 2" xfId="833"/>
    <cellStyle name="60% - 强调文字颜色 2 7 7" xfId="834"/>
    <cellStyle name="20% - 强调文字颜色 1 10 3 3" xfId="835"/>
    <cellStyle name="40% - 强调文字颜色 1 7 2" xfId="836"/>
    <cellStyle name="60% - 强调文字颜色 1 13 2 5" xfId="837"/>
    <cellStyle name="40% - 强调文字颜色 2 11 3 3" xfId="838"/>
    <cellStyle name="60% - 强调文字颜色 2 6 6 2" xfId="839"/>
    <cellStyle name="20% - 强调文字颜色 1 10 2 2 2" xfId="840"/>
    <cellStyle name="输出 9 6 3 2" xfId="841"/>
    <cellStyle name="40% - 强调文字颜色 2 11 2 2 2" xfId="842"/>
    <cellStyle name="输出 3 14 2" xfId="843"/>
    <cellStyle name="60% - 强调文字颜色 3 8 7" xfId="844"/>
    <cellStyle name="20% - 强调文字颜色 1 11 4 3" xfId="845"/>
    <cellStyle name="标题 1 3" xfId="846"/>
    <cellStyle name="20% - 强调文字颜色 5 2 2 3 2" xfId="847"/>
    <cellStyle name="40% - 强调文字颜色 2 12 4 3" xfId="848"/>
    <cellStyle name="40% - 强调文字颜色 1 2 4 5" xfId="849"/>
    <cellStyle name="40% - 强调文字颜色 2 8 2" xfId="850"/>
    <cellStyle name="20% - 强调文字颜色 1 10 3 3 2" xfId="851"/>
    <cellStyle name="20% - 强调文字颜色 4 8 11" xfId="852"/>
    <cellStyle name="百分比 4 3" xfId="853"/>
    <cellStyle name="40% - 强调文字颜色 1 7 2 2" xfId="854"/>
    <cellStyle name="40% - 强调文字颜色 2 11 3 3 2" xfId="855"/>
    <cellStyle name="20% - 强调文字颜色 1 10 2 2 2 2" xfId="856"/>
    <cellStyle name="40% - 强调文字颜色 2 11 2 2 2 2" xfId="857"/>
    <cellStyle name="60% - 强调文字颜色 2 7 8" xfId="858"/>
    <cellStyle name="20% - 强调文字颜色 1 10 3 4" xfId="859"/>
    <cellStyle name="60% - 强调文字颜色 5 11 4 2" xfId="860"/>
    <cellStyle name="40% - 强调文字颜色 1 7 3" xfId="861"/>
    <cellStyle name="40% - 强调文字颜色 2 11 3 4" xfId="862"/>
    <cellStyle name="计算 3 16" xfId="863"/>
    <cellStyle name="60% - 强调文字颜色 3 12 3 4" xfId="864"/>
    <cellStyle name="40% - 强调文字颜色 4 10 4 2" xfId="865"/>
    <cellStyle name="20% - 强调文字颜色 1 10 2 2 3" xfId="866"/>
    <cellStyle name="40% - 强调文字颜色 2 11 2 2 3" xfId="867"/>
    <cellStyle name="注释 21 5 2" xfId="868"/>
    <cellStyle name="注释 16 5 2" xfId="869"/>
    <cellStyle name="60% - 强调文字颜色 2 6 7" xfId="870"/>
    <cellStyle name="20% - 强调文字颜色 1 10 2 3" xfId="871"/>
    <cellStyle name="40% - 强调文字颜色 1 6 2" xfId="872"/>
    <cellStyle name="输出 9 6 4" xfId="873"/>
    <cellStyle name="40% - 强调文字颜色 2 11 2 3" xfId="874"/>
    <cellStyle name="20% - 强调文字颜色 1 2 4 3 2" xfId="875"/>
    <cellStyle name="强调文字颜色 3 8 10" xfId="876"/>
    <cellStyle name="60% - 强调文字颜色 2 6 8" xfId="877"/>
    <cellStyle name="20% - 强调文字颜色 1 10 2 4" xfId="878"/>
    <cellStyle name="60% - 强调文字颜色 5 11 3 2" xfId="879"/>
    <cellStyle name="40% - 强调文字颜色 1 6 3" xfId="880"/>
    <cellStyle name="输出 9 6 5" xfId="881"/>
    <cellStyle name="40% - 强调文字颜色 2 11 2 4" xfId="882"/>
    <cellStyle name="60% - 强调文字颜色 3 12 2 4" xfId="883"/>
    <cellStyle name="40% - 强调文字颜色 4 10 3 2" xfId="884"/>
    <cellStyle name="强调文字颜色 3 8 11" xfId="885"/>
    <cellStyle name="60% - 强调文字颜色 2 6 9" xfId="886"/>
    <cellStyle name="20% - 强调文字颜色 1 10 2 5" xfId="887"/>
    <cellStyle name="60% - 强调文字颜色 5 11 3 3" xfId="888"/>
    <cellStyle name="40% - 强调文字颜色 1 6 4" xfId="889"/>
    <cellStyle name="输出 9 6 6" xfId="890"/>
    <cellStyle name="40% - 强调文字颜色 6 7 4 2" xfId="891"/>
    <cellStyle name="40% - 强调文字颜色 2 11 2 5" xfId="892"/>
    <cellStyle name="60% - 强调文字颜色 3 12 2 5" xfId="893"/>
    <cellStyle name="40% - 强调文字颜色 4 10 3 3" xfId="894"/>
    <cellStyle name="20% - 强调文字颜色 1 10 3" xfId="895"/>
    <cellStyle name="常规 8 2 2 2" xfId="896"/>
    <cellStyle name="40% - 强调文字颜色 1 13 11" xfId="897"/>
    <cellStyle name="40% - 强调文字颜色 2 11 3" xfId="898"/>
    <cellStyle name="注释 22 6 2" xfId="899"/>
    <cellStyle name="注释 17 6 2" xfId="900"/>
    <cellStyle name="输出 3 13 2" xfId="901"/>
    <cellStyle name="60% - 强调文字颜色 3 7 7" xfId="902"/>
    <cellStyle name="20% - 强调文字颜色 1 11 3 3" xfId="903"/>
    <cellStyle name="20% - 强调文字颜色 5 2 2 2 2" xfId="904"/>
    <cellStyle name="40% - 强调文字颜色 2 12 3 3" xfId="905"/>
    <cellStyle name="40% - 强调文字颜色 1 2 3 5" xfId="906"/>
    <cellStyle name="40% - 强调文字颜色 2 7 2" xfId="907"/>
    <cellStyle name="60% - 强调文字颜色 2 7 6 2" xfId="908"/>
    <cellStyle name="20% - 强调文字颜色 1 10 3 2 2" xfId="909"/>
    <cellStyle name="40% - 强调文字颜色 2 11 3 2 2" xfId="910"/>
    <cellStyle name="20% - 强调文字颜色 1 11 3 3 2" xfId="911"/>
    <cellStyle name="20% - 强调文字颜色 5 2 2 2 2 2" xfId="912"/>
    <cellStyle name="40% - 强调文字颜色 2 12 3 3 2" xfId="913"/>
    <cellStyle name="40% - 强调文字颜色 2 7 2 2" xfId="914"/>
    <cellStyle name="20% - 强调文字颜色 1 10 3 2 2 2" xfId="915"/>
    <cellStyle name="40% - 强调文字颜色 2 11 3 2 2 2" xfId="916"/>
    <cellStyle name="60% - 强调文字颜色 3 7 8" xfId="917"/>
    <cellStyle name="20% - 强调文字颜色 1 11 3 4" xfId="918"/>
    <cellStyle name="20% - 强调文字颜色 3 10 4 2" xfId="919"/>
    <cellStyle name="20% - 强调文字颜色 5 2 2 2 3" xfId="920"/>
    <cellStyle name="40% - 强调文字颜色 2 12 3 4" xfId="921"/>
    <cellStyle name="强调文字颜色 6 11 2" xfId="922"/>
    <cellStyle name="60% - 强调文字颜色 5 12 4 2" xfId="923"/>
    <cellStyle name="40% - 强调文字颜色 2 7 3" xfId="924"/>
    <cellStyle name="计算 8 16" xfId="925"/>
    <cellStyle name="60% - 强调文字颜色 3 13 3 4" xfId="926"/>
    <cellStyle name="40% - 强调文字颜色 4 11 4 2" xfId="927"/>
    <cellStyle name="20% - 强调文字颜色 1 10 3 2 3" xfId="928"/>
    <cellStyle name="40% - 强调文字颜色 2 11 3 2 3" xfId="929"/>
    <cellStyle name="20% - 强调文字颜色 1 10 4" xfId="930"/>
    <cellStyle name="常规 8 2 2 3" xfId="931"/>
    <cellStyle name="40% - 强调文字颜色 1 13 12" xfId="932"/>
    <cellStyle name="汇总 7 4 2" xfId="933"/>
    <cellStyle name="40% - 强调文字颜色 2 11 4" xfId="934"/>
    <cellStyle name="强调文字颜色 6 10 3 2 2" xfId="935"/>
    <cellStyle name="40% - 强调文字颜色 2 6 4 2 2" xfId="936"/>
    <cellStyle name="20% - 强调文字颜色 1 3 8" xfId="937"/>
    <cellStyle name="60% - 强调文字颜色 2 8 6" xfId="938"/>
    <cellStyle name="20% - 强调文字颜色 1 10 4 2" xfId="939"/>
    <cellStyle name="60% - 强调文字颜色 1 13 3 4" xfId="940"/>
    <cellStyle name="40% - 强调文字颜色 2 11 4 2" xfId="941"/>
    <cellStyle name="注释 18 6 2" xfId="942"/>
    <cellStyle name="60% - 强调文字颜色 4 7 7" xfId="943"/>
    <cellStyle name="20% - 强调文字颜色 1 12 3 3" xfId="944"/>
    <cellStyle name="20% - 强调文字颜色 6 11 6" xfId="945"/>
    <cellStyle name="20% - 强调文字颜色 5 2 3 2 2" xfId="946"/>
    <cellStyle name="40% - 强调文字颜色 2 13 3 3" xfId="947"/>
    <cellStyle name="40% - 强调文字颜色 3 7 2" xfId="948"/>
    <cellStyle name="60% - 强调文字颜色 2 8 6 2" xfId="949"/>
    <cellStyle name="20% - 强调文字颜色 1 10 4 2 2" xfId="950"/>
    <cellStyle name="强调文字颜色 2 2 3 3" xfId="951"/>
    <cellStyle name="20% - 强调文字颜色 2 4" xfId="952"/>
    <cellStyle name="40% - 强调文字颜色 2 11 4 2 2" xfId="953"/>
    <cellStyle name="20% - 强调文字颜色 1 10 5" xfId="954"/>
    <cellStyle name="40% - 强调文字颜色 1 13 13" xfId="955"/>
    <cellStyle name="40% - 强调文字颜色 2 11 5" xfId="956"/>
    <cellStyle name="20% - 强调文字颜色 1 4 8" xfId="957"/>
    <cellStyle name="60% - 强调文字颜色 2 9 6" xfId="958"/>
    <cellStyle name="20% - 强调文字颜色 1 10 5 2" xfId="959"/>
    <cellStyle name="40% - 强调文字颜色 2 11 5 2" xfId="960"/>
    <cellStyle name="20% - 强调文字颜色 1 10 6" xfId="961"/>
    <cellStyle name="40% - 强调文字颜色 2 11 6" xfId="962"/>
    <cellStyle name="20% - 强调文字颜色 1 2 4 2 2 2" xfId="963"/>
    <cellStyle name="60% - 强调文字颜色 5 11 2 2 2" xfId="964"/>
    <cellStyle name="40% - 强调文字颜色 1 5 3 2" xfId="965"/>
    <cellStyle name="40% - 强调文字颜色 4 10 2 2 2" xfId="966"/>
    <cellStyle name="20% - 强调文字颜色 1 10 7" xfId="967"/>
    <cellStyle name="强调文字颜色 6 3 6 2" xfId="968"/>
    <cellStyle name="40% - 强调文字颜色 2 11 7" xfId="969"/>
    <cellStyle name="60% - 强调文字颜色 6 7 6" xfId="970"/>
    <cellStyle name="20% - 强调文字颜色 1 14 3 2" xfId="971"/>
    <cellStyle name="40% - 强调文字颜色 1 5 3 4" xfId="972"/>
    <cellStyle name="20% - 强调文字颜色 1 10 9" xfId="973"/>
    <cellStyle name="40% - 强调文字颜色 2 11 9" xfId="974"/>
    <cellStyle name="20% - 强调文字颜色 1 5 6" xfId="975"/>
    <cellStyle name="20% - 强调文字颜色 1 11 10" xfId="976"/>
    <cellStyle name="好 2 6" xfId="977"/>
    <cellStyle name="20% - 强调文字颜色 4 10 2 3 2" xfId="978"/>
    <cellStyle name="40% - 强调文字颜色 2 12 10" xfId="979"/>
    <cellStyle name="20% - 强调文字颜色 1 5 7" xfId="980"/>
    <cellStyle name="千位分隔 3 9 4" xfId="981"/>
    <cellStyle name="40% - 强调文字颜色 3 9 3 2 2" xfId="982"/>
    <cellStyle name="60% - 强调文字颜色 2 3 2 2" xfId="983"/>
    <cellStyle name="20% - 强调文字颜色 1 11 11" xfId="984"/>
    <cellStyle name="40% - 强调文字颜色 2 12 11" xfId="985"/>
    <cellStyle name="千位分隔 4 13" xfId="986"/>
    <cellStyle name="20% - 强调文字颜色 1 11 2" xfId="987"/>
    <cellStyle name="强调文字颜色 5 7 10" xfId="988"/>
    <cellStyle name="40% - 强调文字颜色 2 12 2" xfId="989"/>
    <cellStyle name="20% - 强调文字颜色 1 17" xfId="990"/>
    <cellStyle name="20% - 强调文字颜色 6 2 2 3" xfId="991"/>
    <cellStyle name="60% - 强调文字颜色 3 6 6 2" xfId="992"/>
    <cellStyle name="20% - 强调文字颜色 1 11 2 2 2" xfId="993"/>
    <cellStyle name="40% - 强调文字颜色 1 2 2 4 2" xfId="994"/>
    <cellStyle name="汇总 4 4" xfId="995"/>
    <cellStyle name="40% - 强调文字颜色 2 12 2 2 2" xfId="996"/>
    <cellStyle name="20% - 强调文字颜色 1 11 2 2 3" xfId="997"/>
    <cellStyle name="汇总 4 5" xfId="998"/>
    <cellStyle name="40% - 强调文字颜色 2 12 2 2 3" xfId="999"/>
    <cellStyle name="60% - 强调文字颜色 4 11 11" xfId="1000"/>
    <cellStyle name="20% - 强调文字颜色 1 2 7 2" xfId="1001"/>
    <cellStyle name="标题 4 8 3 3" xfId="1002"/>
    <cellStyle name="20% - 强调文字颜色 3 12 2" xfId="1003"/>
    <cellStyle name="40% - 强调文字颜色 5 6 3 4" xfId="1004"/>
    <cellStyle name="40% - 强调文字颜色 3 10 11" xfId="1005"/>
    <cellStyle name="注释 22 5 2" xfId="1006"/>
    <cellStyle name="注释 17 5 2" xfId="1007"/>
    <cellStyle name="输出 3 12 2" xfId="1008"/>
    <cellStyle name="60% - 强调文字颜色 3 6 7" xfId="1009"/>
    <cellStyle name="20% - 强调文字颜色 1 11 2 3" xfId="1010"/>
    <cellStyle name="40% - 强调文字颜色 2 12 2 3" xfId="1011"/>
    <cellStyle name="40% - 强调文字颜色 1 2 2 5" xfId="1012"/>
    <cellStyle name="40% - 强调文字颜色 2 6 2" xfId="1013"/>
    <cellStyle name="20% - 强调文字颜色 1 11 2 3 2" xfId="1014"/>
    <cellStyle name="汇总 5 4" xfId="1015"/>
    <cellStyle name="40% - 强调文字颜色 2 12 2 3 2" xfId="1016"/>
    <cellStyle name="40% - 强调文字颜色 2 6 2 2" xfId="1017"/>
    <cellStyle name="千位分隔 4 14" xfId="1018"/>
    <cellStyle name="20% - 强调文字颜色 1 11 3" xfId="1019"/>
    <cellStyle name="强调文字颜色 5 7 11" xfId="1020"/>
    <cellStyle name="40% - 强调文字颜色 2 12 3" xfId="1021"/>
    <cellStyle name="60% - 强调文字颜色 3 7 6" xfId="1022"/>
    <cellStyle name="20% - 强调文字颜色 1 11 3 2" xfId="1023"/>
    <cellStyle name="40% - 强调文字颜色 1 2 3 4" xfId="1024"/>
    <cellStyle name="40% - 强调文字颜色 2 12 3 2" xfId="1025"/>
    <cellStyle name="20% - 强调文字颜色 1 3 11" xfId="1026"/>
    <cellStyle name="60% - 强调文字颜色 3 7 6 2" xfId="1027"/>
    <cellStyle name="20% - 强调文字颜色 1 11 3 2 2" xfId="1028"/>
    <cellStyle name="40% - 强调文字颜色 2 12 3 2 2" xfId="1029"/>
    <cellStyle name="20% - 强调文字颜色 1 11 3 2 2 2" xfId="1030"/>
    <cellStyle name="输入 4 6 3" xfId="1031"/>
    <cellStyle name="40% - 强调文字颜色 2 12 3 2 2 2" xfId="1032"/>
    <cellStyle name="20% - 强调文字颜色 1 3 12" xfId="1033"/>
    <cellStyle name="20% - 强调文字颜色 1 11 3 2 3" xfId="1034"/>
    <cellStyle name="40% - 强调文字颜色 2 12 3 2 3" xfId="1035"/>
    <cellStyle name="60% - 强调文字颜色 3 8 6" xfId="1036"/>
    <cellStyle name="20% - 强调文字颜色 1 11 4 2" xfId="1037"/>
    <cellStyle name="40% - 强调文字颜色 1 2 4 4" xfId="1038"/>
    <cellStyle name="标题 1 2" xfId="1039"/>
    <cellStyle name="40% - 强调文字颜色 2 12 4 2" xfId="1040"/>
    <cellStyle name="60% - 强调文字颜色 3 8 6 2" xfId="1041"/>
    <cellStyle name="20% - 强调文字颜色 1 11 4 2 2" xfId="1042"/>
    <cellStyle name="标题 1 2 2" xfId="1043"/>
    <cellStyle name="40% - 强调文字颜色 2 12 4 2 2" xfId="1044"/>
    <cellStyle name="Column_Title" xfId="1045"/>
    <cellStyle name="60% - 强调文字颜色 3 9 6" xfId="1046"/>
    <cellStyle name="20% - 强调文字颜色 1 11 5 2" xfId="1047"/>
    <cellStyle name="标题 2 2" xfId="1048"/>
    <cellStyle name="40% - 强调文字颜色 2 12 5 2" xfId="1049"/>
    <cellStyle name="60% - 强调文字颜色 6 6 3 4" xfId="1050"/>
    <cellStyle name="60% - 强调文字颜色 4 10 11" xfId="1051"/>
    <cellStyle name="20% - 强调文字颜色 1 2 2 2" xfId="1052"/>
    <cellStyle name="40% - 强调文字颜色 2 2 7 2" xfId="1053"/>
    <cellStyle name="20% - 强调文字颜色 1 11 8" xfId="1054"/>
    <cellStyle name="标题 5" xfId="1055"/>
    <cellStyle name="40% - 强调文字颜色 2 12 8" xfId="1056"/>
    <cellStyle name="60% - 强调文字颜色 4 10 12" xfId="1057"/>
    <cellStyle name="20% - 强调文字颜色 1 2 2 3" xfId="1058"/>
    <cellStyle name="20% - 强调文字颜色 1 11 9" xfId="1059"/>
    <cellStyle name="20% - 强调文字颜色 3 7 2 2 2" xfId="1060"/>
    <cellStyle name="标题 6" xfId="1061"/>
    <cellStyle name="40% - 强调文字颜色 2 12 9" xfId="1062"/>
    <cellStyle name="60% - 强调文字颜色 4 6 3" xfId="1063"/>
    <cellStyle name="20% - 强调文字颜色 1 12 10" xfId="1064"/>
    <cellStyle name="好 7 6" xfId="1065"/>
    <cellStyle name="20% - 强调文字颜色 6 10 2" xfId="1066"/>
    <cellStyle name="检查单元格 2 5 2" xfId="1067"/>
    <cellStyle name="40% - 强调文字颜色 2 13 10" xfId="1068"/>
    <cellStyle name="注释 21 2 2 2" xfId="1069"/>
    <cellStyle name="注释 16 2 2 2" xfId="1070"/>
    <cellStyle name="60% - 强调文字颜色 4 6 4" xfId="1071"/>
    <cellStyle name="20% - 强调文字颜色 1 12 11" xfId="1072"/>
    <cellStyle name="好 7 7" xfId="1073"/>
    <cellStyle name="20% - 强调文字颜色 6 10 3" xfId="1074"/>
    <cellStyle name="40% - 强调文字颜色 1 3 2 2" xfId="1075"/>
    <cellStyle name="常规 9 2 2 2" xfId="1076"/>
    <cellStyle name="40% - 强调文字颜色 2 13 11" xfId="1077"/>
    <cellStyle name="强调文字颜色 2 2 2 2 2" xfId="1078"/>
    <cellStyle name="20% - 强调文字颜色 1 3 2" xfId="1079"/>
    <cellStyle name="40% - 强调文字颜色 2 3 7" xfId="1080"/>
    <cellStyle name="60% - 强调文字颜色 4 6 6 2" xfId="1081"/>
    <cellStyle name="20% - 强调文字颜色 1 12 2 2 2" xfId="1082"/>
    <cellStyle name="20% - 强调文字颜色 6 10 5 2" xfId="1083"/>
    <cellStyle name="40% - 强调文字颜色 2 13 2 2 2" xfId="1084"/>
    <cellStyle name="强调文字颜色 2 2 2 2 2 2" xfId="1085"/>
    <cellStyle name="60% - 强调文字颜色 6 7 3 4" xfId="1086"/>
    <cellStyle name="20% - 强调文字颜色 1 3 2 2" xfId="1087"/>
    <cellStyle name="20% - 强调文字颜色 2 13 11" xfId="1088"/>
    <cellStyle name="20% - 强调文字颜色 1 12 2 2 2 2" xfId="1089"/>
    <cellStyle name="40% - 强调文字颜色 2 13 2 2 2 2" xfId="1090"/>
    <cellStyle name="强调文字颜色 2 2 2 2 3" xfId="1091"/>
    <cellStyle name="20% - 强调文字颜色 1 3 3" xfId="1092"/>
    <cellStyle name="40% - 强调文字颜色 2 3 8" xfId="1093"/>
    <cellStyle name="20% - 强调文字颜色 1 12 2 2 3" xfId="1094"/>
    <cellStyle name="40% - 强调文字颜色 2 13 2 2 3" xfId="1095"/>
    <cellStyle name="强调文字颜色 2 2 2 3" xfId="1096"/>
    <cellStyle name="20% - 强调文字颜色 1 4" xfId="1097"/>
    <cellStyle name="注释 18 5 2" xfId="1098"/>
    <cellStyle name="60% - 强调文字颜色 4 6 7" xfId="1099"/>
    <cellStyle name="20% - 强调文字颜色 1 12 2 3" xfId="1100"/>
    <cellStyle name="20% - 强调文字颜色 6 10 6" xfId="1101"/>
    <cellStyle name="40% - 强调文字颜色 2 13 2 3" xfId="1102"/>
    <cellStyle name="40% - 强调文字颜色 1 3 2 5" xfId="1103"/>
    <cellStyle name="40% - 强调文字颜色 3 6 2" xfId="1104"/>
    <cellStyle name="强调文字颜色 2 2 2 4" xfId="1105"/>
    <cellStyle name="20% - 强调文字颜色 1 5" xfId="1106"/>
    <cellStyle name="60% - 强调文字颜色 4 6 8" xfId="1107"/>
    <cellStyle name="60% - 强调文字颜色 2 7 3 2 2 2" xfId="1108"/>
    <cellStyle name="20% - 强调文字颜色 1 12 2 4" xfId="1109"/>
    <cellStyle name="20% - 强调文字颜色 6 10 7" xfId="1110"/>
    <cellStyle name="20% - 强调文字颜色 3 11 3 2" xfId="1111"/>
    <cellStyle name="40% - 强调文字颜色 2 13 2 4" xfId="1112"/>
    <cellStyle name="60% - 强调文字颜色 5 13 3 2" xfId="1113"/>
    <cellStyle name="40% - 强调文字颜色 3 6 3" xfId="1114"/>
    <cellStyle name="40% - 强调文字颜色 4 12 3 2" xfId="1115"/>
    <cellStyle name="强调文字颜色 2 2 2 5" xfId="1116"/>
    <cellStyle name="20% - 强调文字颜色 1 6" xfId="1117"/>
    <cellStyle name="20% - 强调文字颜色 4 12 3 3 2" xfId="1118"/>
    <cellStyle name="标题 2 4 2 3 2" xfId="1119"/>
    <cellStyle name="60% - 强调文字颜色 4 6 9" xfId="1120"/>
    <cellStyle name="20% - 强调文字颜色 1 12 2 5" xfId="1121"/>
    <cellStyle name="20% - 强调文字颜色 6 10 8" xfId="1122"/>
    <cellStyle name="40% - 强调文字颜色 6 9 4 2" xfId="1123"/>
    <cellStyle name="20% - 强调文字颜色 3 11 3 3" xfId="1124"/>
    <cellStyle name="40% - 强调文字颜色 2 13 2 5" xfId="1125"/>
    <cellStyle name="注释 7 7" xfId="1126"/>
    <cellStyle name="计算 10 4 3" xfId="1127"/>
    <cellStyle name="40% - 强调文字颜色 3 2 2 4 2" xfId="1128"/>
    <cellStyle name="60% - 强调文字颜色 5 13 3 3" xfId="1129"/>
    <cellStyle name="40% - 强调文字颜色 3 6 4" xfId="1130"/>
    <cellStyle name="40% - 强调文字颜色 4 12 3 3" xfId="1131"/>
    <cellStyle name="60% - 强调文字颜色 4 7 6" xfId="1132"/>
    <cellStyle name="20% - 强调文字颜色 1 12 3 2" xfId="1133"/>
    <cellStyle name="好 8 9" xfId="1134"/>
    <cellStyle name="20% - 强调文字颜色 6 11 5" xfId="1135"/>
    <cellStyle name="40% - 强调文字颜色 1 3 3 4" xfId="1136"/>
    <cellStyle name="40% - 强调文字颜色 2 13 3 2" xfId="1137"/>
    <cellStyle name="60% - 强调文字颜色 4 7 6 2" xfId="1138"/>
    <cellStyle name="20% - 强调文字颜色 1 12 3 2 2" xfId="1139"/>
    <cellStyle name="20% - 强调文字颜色 6 11 5 2" xfId="1140"/>
    <cellStyle name="40% - 强调文字颜色 2 13 3 2 2" xfId="1141"/>
    <cellStyle name="20% - 强调文字颜色 1 12 3 2 2 2" xfId="1142"/>
    <cellStyle name="40% - 强调文字颜色 2 13 3 2 2 2" xfId="1143"/>
    <cellStyle name="20% - 强调文字颜色 1 12 3 2 3" xfId="1144"/>
    <cellStyle name="注释 8 4 3" xfId="1145"/>
    <cellStyle name="20% - 强调文字颜色 6 2 2 4 2" xfId="1146"/>
    <cellStyle name="40% - 强调文字颜色 2 13 3 2 3" xfId="1147"/>
    <cellStyle name="60% - 强调文字颜色 4 7 8" xfId="1148"/>
    <cellStyle name="20% - 强调文字颜色 1 12 3 4" xfId="1149"/>
    <cellStyle name="20% - 强调文字颜色 6 11 7" xfId="1150"/>
    <cellStyle name="20% - 强调文字颜色 3 11 4 2" xfId="1151"/>
    <cellStyle name="20% - 强调文字颜色 5 2 3 2 3" xfId="1152"/>
    <cellStyle name="40% - 强调文字颜色 2 13 3 4" xfId="1153"/>
    <cellStyle name="60% - 强调文字颜色 5 13 4 2" xfId="1154"/>
    <cellStyle name="40% - 强调文字颜色 3 7 3" xfId="1155"/>
    <cellStyle name="40% - 强调文字颜色 4 12 4 2" xfId="1156"/>
    <cellStyle name="20% - 强调文字颜色 1 12 4" xfId="1157"/>
    <cellStyle name="60% - 强调文字颜色 3 14 4" xfId="1158"/>
    <cellStyle name="20% - 强调文字颜色 5 10 11" xfId="1159"/>
    <cellStyle name="汇总 7 6 2" xfId="1160"/>
    <cellStyle name="40% - 强调文字颜色 2 13 4" xfId="1161"/>
    <cellStyle name="60% - 强调文字颜色 4 8 7" xfId="1162"/>
    <cellStyle name="20% - 强调文字颜色 1 12 4 3" xfId="1163"/>
    <cellStyle name="20% - 强调文字颜色 6 12 6" xfId="1164"/>
    <cellStyle name="20% - 强调文字颜色 5 2 3 3 2" xfId="1165"/>
    <cellStyle name="40% - 强调文字颜色 2 13 4 3" xfId="1166"/>
    <cellStyle name="40% - 强调文字颜色 3 8 2" xfId="1167"/>
    <cellStyle name="20% - 强调文字颜色 1 12 5" xfId="1168"/>
    <cellStyle name="20% - 强调文字颜色 5 10 12" xfId="1169"/>
    <cellStyle name="40% - 强调文字颜色 2 13 5" xfId="1170"/>
    <cellStyle name="60% - 强调文字颜色 4 9 6" xfId="1171"/>
    <cellStyle name="20% - 强调文字颜色 1 12 5 2" xfId="1172"/>
    <cellStyle name="20% - 强调文字颜色 6 13 5" xfId="1173"/>
    <cellStyle name="40% - 强调文字颜色 2 13 5 2" xfId="1174"/>
    <cellStyle name="20% - 强调文字颜色 1 12 6" xfId="1175"/>
    <cellStyle name="40% - 强调文字颜色 2 13 6" xfId="1176"/>
    <cellStyle name="20% - 强调文字颜色 1 12 6 2" xfId="1177"/>
    <cellStyle name="40% - 强调文字颜色 2 13 6 2" xfId="1178"/>
    <cellStyle name="强调文字颜色 3 2 2 2 2" xfId="1179"/>
    <cellStyle name="20% - 强调文字颜色 1 12 7" xfId="1180"/>
    <cellStyle name="40% - 强调文字颜色 2 13 7" xfId="1181"/>
    <cellStyle name="20% - 强调文字颜色 1 2 3 2" xfId="1182"/>
    <cellStyle name="强调文字颜色 3 2 2 2 3" xfId="1183"/>
    <cellStyle name="20% - 强调文字颜色 1 12 8" xfId="1184"/>
    <cellStyle name="40% - 强调文字颜色 2 13 8" xfId="1185"/>
    <cellStyle name="20% - 强调文字颜色 1 13 10" xfId="1186"/>
    <cellStyle name="千位分隔 3 6" xfId="1187"/>
    <cellStyle name="20% - 强调文字颜色 6 15 2" xfId="1188"/>
    <cellStyle name="20% - 强调文字颜色 1 13 11" xfId="1189"/>
    <cellStyle name="千位分隔 3 7" xfId="1190"/>
    <cellStyle name="20% - 强调文字颜色 6 15 3" xfId="1191"/>
    <cellStyle name="20% - 强调文字颜色 1 13 12" xfId="1192"/>
    <cellStyle name="强调文字颜色 3 2 2 2 2 2" xfId="1193"/>
    <cellStyle name="20% - 强调文字颜色 1 13 13" xfId="1194"/>
    <cellStyle name="40% - 强调文字颜色 2 13 7 2" xfId="1195"/>
    <cellStyle name="60% - 强调文字颜色 5 6 6" xfId="1196"/>
    <cellStyle name="20% - 强调文字颜色 1 13 2 2" xfId="1197"/>
    <cellStyle name="40% - 强调文字颜色 1 4 2 4" xfId="1198"/>
    <cellStyle name="40% - 强调文字颜色 2 14 2 2" xfId="1199"/>
    <cellStyle name="20% - 强调文字颜色 1 4 4" xfId="1200"/>
    <cellStyle name="强调文字颜色 4 5 2 2" xfId="1201"/>
    <cellStyle name="40% - 强调文字颜色 2 4 9" xfId="1202"/>
    <cellStyle name="60% - 强调文字颜色 6 10 6" xfId="1203"/>
    <cellStyle name="20% - 强调文字颜色 1 13 2 2 2 2" xfId="1204"/>
    <cellStyle name="注释 19 5 2" xfId="1205"/>
    <cellStyle name="60% - 强调文字颜色 5 6 7" xfId="1206"/>
    <cellStyle name="20% - 强调文字颜色 1 13 2 3" xfId="1207"/>
    <cellStyle name="40% - 强调文字颜色 4 6 2" xfId="1208"/>
    <cellStyle name="40% - 强调文字颜色 1 4 2 5" xfId="1209"/>
    <cellStyle name="常规 7 4 2 2 2 2" xfId="1210"/>
    <cellStyle name="40% - 强调文字颜色 2 14 2 3" xfId="1211"/>
    <cellStyle name="20% - 强调文字颜色 1 13 2 3 2" xfId="1212"/>
    <cellStyle name="60% - 强调文字颜色 5 6 8" xfId="1213"/>
    <cellStyle name="20% - 强调文字颜色 1 13 2 4" xfId="1214"/>
    <cellStyle name="常规 7 4 2 2 2 3" xfId="1215"/>
    <cellStyle name="20% - 强调文字颜色 3 12 3 2" xfId="1216"/>
    <cellStyle name="60% - 强调文字颜色 5 6 9" xfId="1217"/>
    <cellStyle name="20% - 强调文字颜色 1 13 2 5" xfId="1218"/>
    <cellStyle name="20% - 强调文字颜色 3 12 3 3" xfId="1219"/>
    <cellStyle name="20% - 强调文字颜色 1 5 2 2 2" xfId="1220"/>
    <cellStyle name="20% - 强调文字颜色 1 13 3" xfId="1221"/>
    <cellStyle name="40% - 强调文字颜色 2 14 3" xfId="1222"/>
    <cellStyle name="60% - 强调文字颜色 4 13 11" xfId="1223"/>
    <cellStyle name="20% - 强调文字颜色 1 5 2 2 2 2" xfId="1224"/>
    <cellStyle name="60% - 强调文字颜色 3 3 2 2" xfId="1225"/>
    <cellStyle name="20% - 强调文字颜色 2 11 11" xfId="1226"/>
    <cellStyle name="40% - 强调文字颜色 3 12 11" xfId="1227"/>
    <cellStyle name="60% - 强调文字颜色 5 7 6" xfId="1228"/>
    <cellStyle name="20% - 强调文字颜色 1 13 3 2" xfId="1229"/>
    <cellStyle name="40% - 强调文字颜色 1 4 3 4" xfId="1230"/>
    <cellStyle name="40% - 强调文字颜色 2 14 3 2" xfId="1231"/>
    <cellStyle name="注释 19 6 2" xfId="1232"/>
    <cellStyle name="60% - 强调文字颜色 5 7 7" xfId="1233"/>
    <cellStyle name="20% - 强调文字颜色 1 13 3 3" xfId="1234"/>
    <cellStyle name="20% - 强调文字颜色 5 2 4 2 2" xfId="1235"/>
    <cellStyle name="20% - 强调文字颜色 1 13 3 3 2" xfId="1236"/>
    <cellStyle name="20% - 强调文字颜色 5 2 4 2 2 2" xfId="1237"/>
    <cellStyle name="60% - 强调文字颜色 5 8 7" xfId="1238"/>
    <cellStyle name="20% - 强调文字颜色 1 13 4 3" xfId="1239"/>
    <cellStyle name="20% - 强调文字颜色 5 2 4 3 2" xfId="1240"/>
    <cellStyle name="60% - 强调文字颜色 5 9 6" xfId="1241"/>
    <cellStyle name="40% - 强调文字颜色 4 3 2 2 3" xfId="1242"/>
    <cellStyle name="20% - 强调文字颜色 1 13 5 2" xfId="1243"/>
    <cellStyle name="20% - 强调文字颜色 1 13 6 2" xfId="1244"/>
    <cellStyle name="强调文字颜色 3 2 2 3 2" xfId="1245"/>
    <cellStyle name="20% - 强调文字颜色 1 13 7" xfId="1246"/>
    <cellStyle name="20% - 强调文字颜色 1 2 4 3" xfId="1247"/>
    <cellStyle name="常规 8 12" xfId="1248"/>
    <cellStyle name="差_账龄10 2 3 2" xfId="1249"/>
    <cellStyle name="40% - 强调文字颜色 4 10 3" xfId="1250"/>
    <cellStyle name="强调文字颜色 5 10 2 2" xfId="1251"/>
    <cellStyle name="20% - 强调文字颜色 1 13 9" xfId="1252"/>
    <cellStyle name="20% - 强调文字颜色 4 9 2 3" xfId="1253"/>
    <cellStyle name="20% - 强调文字颜色 1 2 2 3 2 2" xfId="1254"/>
    <cellStyle name="20% - 强调文字颜色 6 9 2 3" xfId="1255"/>
    <cellStyle name="20% - 强调文字颜色 1 14 2" xfId="1256"/>
    <cellStyle name="40% - 强调文字颜色 2 15 2" xfId="1257"/>
    <cellStyle name="60% - 强调文字颜色 6 6 6" xfId="1258"/>
    <cellStyle name="20% - 强调文字颜色 1 14 2 2" xfId="1259"/>
    <cellStyle name="适中 10 12" xfId="1260"/>
    <cellStyle name="40% - 强调文字颜色 1 5 2 4" xfId="1261"/>
    <cellStyle name="40% - 强调文字颜色 2 15 2 2" xfId="1262"/>
    <cellStyle name="60% - 强调文字颜色 6 6 6 2" xfId="1263"/>
    <cellStyle name="20% - 强调文字颜色 1 14 2 2 2" xfId="1264"/>
    <cellStyle name="60% - 强调文字颜色 6 6 7" xfId="1265"/>
    <cellStyle name="20% - 强调文字颜色 1 14 2 3" xfId="1266"/>
    <cellStyle name="40% - 强调文字颜色 5 6 2" xfId="1267"/>
    <cellStyle name="40% - 强调文字颜色 1 5 2 5" xfId="1268"/>
    <cellStyle name="20% - 强调文字颜色 1 5 2 3 2" xfId="1269"/>
    <cellStyle name="20% - 强调文字颜色 6 9 2 4" xfId="1270"/>
    <cellStyle name="20% - 强调文字颜色 1 14 3" xfId="1271"/>
    <cellStyle name="60% - 强调文字颜色 4 7 2 4" xfId="1272"/>
    <cellStyle name="20% - 强调文字颜色 2 2 5 2 2" xfId="1273"/>
    <cellStyle name="40% - 强调文字颜色 2 15 3" xfId="1274"/>
    <cellStyle name="20% - 强调文字颜色 1 2 2 3 3" xfId="1275"/>
    <cellStyle name="20% - 强调文字颜色 3 9 2 5" xfId="1276"/>
    <cellStyle name="20% - 强调文字颜色 1 15" xfId="1277"/>
    <cellStyle name="输入 13 4 4" xfId="1278"/>
    <cellStyle name="40% - 强调文字颜色 2 16" xfId="1279"/>
    <cellStyle name="20% - 强调文字颜色 1 15 2" xfId="1280"/>
    <cellStyle name="20% - 强调文字颜色 6 11 2 3" xfId="1281"/>
    <cellStyle name="40% - 强调文字颜色 2 16 2" xfId="1282"/>
    <cellStyle name="20% - 强调文字颜色 1 15 3" xfId="1283"/>
    <cellStyle name="20% - 强调文字颜色 6 11 2 4" xfId="1284"/>
    <cellStyle name="20% - 强调文字颜色 1 4 5 2" xfId="1285"/>
    <cellStyle name="20% - 强调文字颜色 1 16" xfId="1286"/>
    <cellStyle name="20% - 强调文字颜色 6 2 2 2" xfId="1287"/>
    <cellStyle name="输入 13 4 5" xfId="1288"/>
    <cellStyle name="40% - 强调文字颜色 2 17" xfId="1289"/>
    <cellStyle name="千位分隔 5 13" xfId="1290"/>
    <cellStyle name="20% - 强调文字颜色 1 16 2" xfId="1291"/>
    <cellStyle name="强调文字颜色 5 8 10" xfId="1292"/>
    <cellStyle name="20% - 强调文字颜色 4 12 2 5" xfId="1293"/>
    <cellStyle name="40% - 强调文字颜色 5 13 2 5" xfId="1294"/>
    <cellStyle name="20% - 强调文字颜色 6 11 3 3" xfId="1295"/>
    <cellStyle name="注释 8 2 3" xfId="1296"/>
    <cellStyle name="20% - 强调文字颜色 6 2 2 2 2" xfId="1297"/>
    <cellStyle name="40% - 强调文字颜色 1 3 3 2 3" xfId="1298"/>
    <cellStyle name="输出 2 2 3 2" xfId="1299"/>
    <cellStyle name="20% - 强调文字颜色 1 2 11" xfId="1300"/>
    <cellStyle name="输出 2 2 3 3" xfId="1301"/>
    <cellStyle name="计算 7 6 2" xfId="1302"/>
    <cellStyle name="20% - 强调文字颜色 1 2 12" xfId="1303"/>
    <cellStyle name="20% - 强调文字颜色 1 2 2" xfId="1304"/>
    <cellStyle name="20% - 强调文字颜色 2 4 4 3" xfId="1305"/>
    <cellStyle name="40% - 强调文字颜色 2 2 7" xfId="1306"/>
    <cellStyle name="20% - 强调文字颜色 1 2 2 2 2 2" xfId="1307"/>
    <cellStyle name="20% - 强调文字颜色 6 8 2 3" xfId="1308"/>
    <cellStyle name="20% - 强调文字颜色 1 2 2 2 2 3" xfId="1309"/>
    <cellStyle name="20% - 强调文字颜色 6 8 2 4" xfId="1310"/>
    <cellStyle name="20% - 强调文字颜色 1 2 2 2 2 3 2" xfId="1311"/>
    <cellStyle name="计算 13 3 2 2" xfId="1312"/>
    <cellStyle name="20% - 强调文字颜色 1 2 2 2 3" xfId="1313"/>
    <cellStyle name="20% - 强调文字颜色 3 14 2 2 2" xfId="1314"/>
    <cellStyle name="20% - 强调文字颜色 1 2 2 4" xfId="1315"/>
    <cellStyle name="20% - 强调文字颜色 1 2 2 5" xfId="1316"/>
    <cellStyle name="20% - 强调文字颜色 1 2 2 6" xfId="1317"/>
    <cellStyle name="20% - 强调文字颜色 1 2 3" xfId="1318"/>
    <cellStyle name="40% - 强调文字颜色 2 2 8" xfId="1319"/>
    <cellStyle name="20% - 强调文字颜色 1 2 3 2 2" xfId="1320"/>
    <cellStyle name="20% - 强调文字颜色 1 2 3 2 3" xfId="1321"/>
    <cellStyle name="20% - 强调文字颜色 1 4 10" xfId="1322"/>
    <cellStyle name="20% - 强调文字颜色 1 3 2 2 2" xfId="1323"/>
    <cellStyle name="20% - 强调文字颜色 1 2 3 4" xfId="1324"/>
    <cellStyle name="20% - 强调文字颜色 1 4 11" xfId="1325"/>
    <cellStyle name="20% - 强调文字颜色 1 3 2 2 3" xfId="1326"/>
    <cellStyle name="20% - 强调文字颜色 1 2 3 5" xfId="1327"/>
    <cellStyle name="20% - 强调文字颜色 1 2 4" xfId="1328"/>
    <cellStyle name="强调文字颜色 1 7 3" xfId="1329"/>
    <cellStyle name="20% - 强调文字颜色 2 7 2 2 2" xfId="1330"/>
    <cellStyle name="40% - 强调文字颜色 2 2 9" xfId="1331"/>
    <cellStyle name="40% - 强调文字颜色 4 10" xfId="1332"/>
    <cellStyle name="20% - 强调文字颜色 1 2 4 2 2" xfId="1333"/>
    <cellStyle name="60% - 强调文字颜色 5 11 2 2" xfId="1334"/>
    <cellStyle name="40% - 强调文字颜色 1 5 3" xfId="1335"/>
    <cellStyle name="40% - 强调文字颜色 4 10 2 2" xfId="1336"/>
    <cellStyle name="20% - 强调文字颜色 1 2 4 2 3" xfId="1337"/>
    <cellStyle name="60% - 强调文字颜色 5 11 2 3" xfId="1338"/>
    <cellStyle name="40% - 强调文字颜色 1 5 4" xfId="1339"/>
    <cellStyle name="40% - 强调文字颜色 4 10 2 3" xfId="1340"/>
    <cellStyle name="20% - 强调文字颜色 1 3 2 3 2" xfId="1341"/>
    <cellStyle name="20% - 强调文字颜色 4 9 2 4" xfId="1342"/>
    <cellStyle name="20% - 强调文字颜色 1 2 4 4" xfId="1343"/>
    <cellStyle name="常规 8 13" xfId="1344"/>
    <cellStyle name="20% - 强调文字颜色 3 7 3 2 2 2" xfId="1345"/>
    <cellStyle name="40% - 强调文字颜色 4 10 4" xfId="1346"/>
    <cellStyle name="20% - 强调文字颜色 1 2 4 5" xfId="1347"/>
    <cellStyle name="常规 8 14" xfId="1348"/>
    <cellStyle name="40% - 强调文字颜色 4 10 5" xfId="1349"/>
    <cellStyle name="20% - 强调文字颜色 1 2 6 2" xfId="1350"/>
    <cellStyle name="标题 4 8 2 3" xfId="1351"/>
    <cellStyle name="20% - 强调文字颜色 3 11 2" xfId="1352"/>
    <cellStyle name="60% - 强调文字颜色 3 3 3 2 2 2" xfId="1353"/>
    <cellStyle name="40% - 强调文字颜色 4 12 2" xfId="1354"/>
    <cellStyle name="20% - 强调文字颜色 1 5 5 2" xfId="1355"/>
    <cellStyle name="20% - 强调文字颜色 1 3 10" xfId="1356"/>
    <cellStyle name="20% - 强调文字颜色 1 3 2 2 2 2" xfId="1357"/>
    <cellStyle name="强调文字颜色 2 2 2 2 2 3" xfId="1358"/>
    <cellStyle name="20% - 强调文字颜色 1 3 2 3" xfId="1359"/>
    <cellStyle name="20% - 强调文字颜色 2 13 12" xfId="1360"/>
    <cellStyle name="20% - 强调文字颜色 1 3 2 4" xfId="1361"/>
    <cellStyle name="20% - 强调文字颜色 2 13 13" xfId="1362"/>
    <cellStyle name="20% - 强调文字颜色 1 3 3 2" xfId="1363"/>
    <cellStyle name="20% - 强调文字颜色 6 4 2 2 3" xfId="1364"/>
    <cellStyle name="20% - 强调文字颜色 1 3 3 4" xfId="1365"/>
    <cellStyle name="20% - 强调文字颜色 1 3 3 2 2" xfId="1366"/>
    <cellStyle name="强调文字颜色 1 8 2 2 2" xfId="1367"/>
    <cellStyle name="20% - 强调文字颜色 1 9 10" xfId="1368"/>
    <cellStyle name="20% - 强调文字颜色 1 3 3 2 3" xfId="1369"/>
    <cellStyle name="注释 4 2 3 2" xfId="1370"/>
    <cellStyle name="20% - 强调文字颜色 1 9 11" xfId="1371"/>
    <cellStyle name="20% - 强调文字颜色 1 3 3 3" xfId="1372"/>
    <cellStyle name="20% - 强调文字颜色 1 3 4" xfId="1373"/>
    <cellStyle name="强调文字颜色 1 8 3" xfId="1374"/>
    <cellStyle name="20% - 强调文字颜色 2 7 2 3 2" xfId="1375"/>
    <cellStyle name="40% - 强调文字颜色 2 3 9" xfId="1376"/>
    <cellStyle name="20% - 强调文字颜色 1 3 4 2" xfId="1377"/>
    <cellStyle name="20% - 强调文字颜色 4 15" xfId="1378"/>
    <cellStyle name="20% - 强调文字颜色 1 4 3 4" xfId="1379"/>
    <cellStyle name="差 9 6" xfId="1380"/>
    <cellStyle name="20% - 强调文字颜色 1 3 4 2 2" xfId="1381"/>
    <cellStyle name="Header2 4 11" xfId="1382"/>
    <cellStyle name="20% - 强调文字颜色 4 15 2" xfId="1383"/>
    <cellStyle name="20% - 强调文字颜色 1 3 5" xfId="1384"/>
    <cellStyle name="20% - 强调文字颜色 1 3 5 2" xfId="1385"/>
    <cellStyle name="20% - 强调文字颜色 1 3 6" xfId="1386"/>
    <cellStyle name="20% - 强调文字颜色 1 3 6 2" xfId="1387"/>
    <cellStyle name="20% - 强调文字颜色 1 3 7" xfId="1388"/>
    <cellStyle name="20% - 强调文字颜色 1 4 12" xfId="1389"/>
    <cellStyle name="60% - 强调文字颜色 6 8 3 4" xfId="1390"/>
    <cellStyle name="20% - 强调文字颜色 1 4 2 2" xfId="1391"/>
    <cellStyle name="20% - 强调文字颜色 1 4 2 2 2" xfId="1392"/>
    <cellStyle name="20% - 强调文字颜色 6 4 10" xfId="1393"/>
    <cellStyle name="40% - 强调文字颜色 3 8 6" xfId="1394"/>
    <cellStyle name="20% - 强调文字颜色 1 4 2 2 3" xfId="1395"/>
    <cellStyle name="20% - 强调文字颜色 2 8 2" xfId="1396"/>
    <cellStyle name="20% - 强调文字颜色 6 4 11" xfId="1397"/>
    <cellStyle name="60% - 强调文字颜色 4 4 3 3 2" xfId="1398"/>
    <cellStyle name="40% - 强调文字颜色 3 8 7" xfId="1399"/>
    <cellStyle name="20% - 强调文字颜色 1 4 2 3" xfId="1400"/>
    <cellStyle name="20% - 强调文字颜色 1 4 2 3 2" xfId="1401"/>
    <cellStyle name="20% - 强调文字颜色 5 9 2 4" xfId="1402"/>
    <cellStyle name="40% - 强调文字颜色 3 9 6" xfId="1403"/>
    <cellStyle name="20% - 强调文字颜色 1 4 2 4" xfId="1404"/>
    <cellStyle name="20% - 强调文字颜色 1 4 2 5" xfId="1405"/>
    <cellStyle name="20% - 强调文字颜色 1 4 3 2" xfId="1406"/>
    <cellStyle name="百分比 2 14" xfId="1407"/>
    <cellStyle name="20% - 强调文字颜色 6 4 3 2 3" xfId="1408"/>
    <cellStyle name="20% - 强调文字颜色 1 4 3 2 2" xfId="1409"/>
    <cellStyle name="强调文字颜色 1 9 2 2 2" xfId="1410"/>
    <cellStyle name="20% - 强调文字颜色 6 9 10" xfId="1411"/>
    <cellStyle name="20% - 强调文字颜色 1 5 3 2 3" xfId="1412"/>
    <cellStyle name="输入 2 5 4" xfId="1413"/>
    <cellStyle name="40% - 强调文字颜色 6 10 5" xfId="1414"/>
    <cellStyle name="20% - 强调文字颜色 1 4 3 2 2 2" xfId="1415"/>
    <cellStyle name="20% - 强调文字颜色 1 4 3 3" xfId="1416"/>
    <cellStyle name="20% - 强调文字颜色 1 4 4 2 2" xfId="1417"/>
    <cellStyle name="20% - 强调文字颜色 1 4 6 2" xfId="1418"/>
    <cellStyle name="20% - 强调文字颜色 1 4 7" xfId="1419"/>
    <cellStyle name="适中 12 3 2" xfId="1420"/>
    <cellStyle name="20% - 强调文字颜色 1 4 9" xfId="1421"/>
    <cellStyle name="20% - 强调文字颜色 2 12 3 2 2 2" xfId="1422"/>
    <cellStyle name="40% - 强调文字颜色 3 13 3 2 2 2" xfId="1423"/>
    <cellStyle name="Header2 2 4 3" xfId="1424"/>
    <cellStyle name="20% - 强调文字颜色 1 5 10" xfId="1425"/>
    <cellStyle name="常规 5 4 2 2 7" xfId="1426"/>
    <cellStyle name="20% - 强调文字颜色 6 9 4 2 2" xfId="1427"/>
    <cellStyle name="20% - 强调文字颜色 1 5 11" xfId="1428"/>
    <cellStyle name="20% - 强调文字颜色 6 5 3 2" xfId="1429"/>
    <cellStyle name="20% - 强调文字颜色 1 5 12" xfId="1430"/>
    <cellStyle name="20% - 强调文字颜色 6 5 3 3" xfId="1431"/>
    <cellStyle name="20% - 强调文字颜色 1 5 2" xfId="1432"/>
    <cellStyle name="40% - 强调文字颜色 6 10 3 4" xfId="1433"/>
    <cellStyle name="40% - 强调文字颜色 2 5 7" xfId="1434"/>
    <cellStyle name="60% - 强调文字颜色 6 9 3 4" xfId="1435"/>
    <cellStyle name="20% - 强调文字颜色 1 5 2 2" xfId="1436"/>
    <cellStyle name="20% - 强调文字颜色 1 5 2 3" xfId="1437"/>
    <cellStyle name="20% - 强调文字颜色 1 5 2 4" xfId="1438"/>
    <cellStyle name="20% - 强调文字颜色 1 5 2 5" xfId="1439"/>
    <cellStyle name="20% - 强调文字颜色 1 5 3" xfId="1440"/>
    <cellStyle name="40% - 强调文字颜色 2 5 8" xfId="1441"/>
    <cellStyle name="20% - 强调文字颜色 1 5 3 2" xfId="1442"/>
    <cellStyle name="60% - 强调文字颜色 5 13 11" xfId="1443"/>
    <cellStyle name="20% - 强调文字颜色 1 5 3 2 2 2" xfId="1444"/>
    <cellStyle name="差 2 4 4" xfId="1445"/>
    <cellStyle name="60% - 强调文字颜色 4 3 2 2" xfId="1446"/>
    <cellStyle name="20% - 强调文字颜色 3 11 11" xfId="1447"/>
    <cellStyle name="40% - 强调文字颜色 4 12 11" xfId="1448"/>
    <cellStyle name="20% - 强调文字颜色 1 5 3 4" xfId="1449"/>
    <cellStyle name="20% - 强调文字颜色 1 5 4" xfId="1450"/>
    <cellStyle name="强调文字颜色 4 5 3 2" xfId="1451"/>
    <cellStyle name="40% - 强调文字颜色 2 5 9" xfId="1452"/>
    <cellStyle name="20% - 强调文字颜色 1 5 4 2" xfId="1453"/>
    <cellStyle name="40% - 强调文字颜色 2 3 10" xfId="1454"/>
    <cellStyle name="20% - 强调文字颜色 1 5 5" xfId="1455"/>
    <cellStyle name="20% - 强调文字颜色 1 5 6 2" xfId="1456"/>
    <cellStyle name="适中 12 4 2" xfId="1457"/>
    <cellStyle name="20% - 强调文字颜色 1 5 9" xfId="1458"/>
    <cellStyle name="20% - 强调文字颜色 2 13 10" xfId="1459"/>
    <cellStyle name="强调文字颜色 4 3 9" xfId="1460"/>
    <cellStyle name="Header2 2 9 3" xfId="1461"/>
    <cellStyle name="20% - 强调文字颜色 1 6 10" xfId="1462"/>
    <cellStyle name="40% - 强调文字颜色 1 2 2 3 2" xfId="1463"/>
    <cellStyle name="40% - 强调文字颜色 2 7 3 2 2 2" xfId="1464"/>
    <cellStyle name="20% - 强调文字颜色 1 6 11" xfId="1465"/>
    <cellStyle name="40% - 强调文字颜色 1 2 2 3 3" xfId="1466"/>
    <cellStyle name="20% - 强调文字颜色 1 6 12" xfId="1467"/>
    <cellStyle name="20% - 强调文字颜色 1 6 2" xfId="1468"/>
    <cellStyle name="强调文字颜色 6 10 6" xfId="1469"/>
    <cellStyle name="40% - 强调文字颜色 2 6 7" xfId="1470"/>
    <cellStyle name="20% - 强调文字颜色 1 6 2 2" xfId="1471"/>
    <cellStyle name="检查单元格 10 4" xfId="1472"/>
    <cellStyle name="20% - 强调文字颜色 1 6 2 2 2" xfId="1473"/>
    <cellStyle name="检查单元格 10 4 2" xfId="1474"/>
    <cellStyle name="常规 2 5 14" xfId="1475"/>
    <cellStyle name="20% - 强调文字颜色 1 6 2 2 2 2" xfId="1476"/>
    <cellStyle name="检查单元格 10 5" xfId="1477"/>
    <cellStyle name="20% - 强调文字颜色 1 6 2 2 3" xfId="1478"/>
    <cellStyle name="20% - 强调文字颜色 6 10 2 3 2" xfId="1479"/>
    <cellStyle name="20% - 强调文字颜色 1 6 2 3" xfId="1480"/>
    <cellStyle name="千位分隔 2 2 5" xfId="1481"/>
    <cellStyle name="检查单元格 11 4" xfId="1482"/>
    <cellStyle name="20% - 强调文字颜色 1 6 2 3 2" xfId="1483"/>
    <cellStyle name="20% - 强调文字颜色 1 6 2 4" xfId="1484"/>
    <cellStyle name="20% - 强调文字颜色 1 6 2 5" xfId="1485"/>
    <cellStyle name="20% - 强调文字颜色 1 6 3" xfId="1486"/>
    <cellStyle name="强调文字颜色 6 10 7" xfId="1487"/>
    <cellStyle name="40% - 强调文字颜色 2 6 8" xfId="1488"/>
    <cellStyle name="20% - 强调文字颜色 1 6 3 2" xfId="1489"/>
    <cellStyle name="20% - 强调文字颜色 1 6 3 2 2" xfId="1490"/>
    <cellStyle name="20% - 强调文字颜色 2 13" xfId="1491"/>
    <cellStyle name="40% - 强调文字颜色 3 14" xfId="1492"/>
    <cellStyle name="强调文字颜色 2 5 5" xfId="1493"/>
    <cellStyle name="20% - 强调文字颜色 1 6 3 2 2 2" xfId="1494"/>
    <cellStyle name="20% - 强调文字颜色 2 13 2" xfId="1495"/>
    <cellStyle name="40% - 强调文字颜色 3 14 2" xfId="1496"/>
    <cellStyle name="20% - 强调文字颜色 1 6 3 2 3" xfId="1497"/>
    <cellStyle name="20% - 强调文字颜色 2 14" xfId="1498"/>
    <cellStyle name="20% - 强调文字颜色 6 10 3 3 2" xfId="1499"/>
    <cellStyle name="注释 7 2 3 2" xfId="1500"/>
    <cellStyle name="40% - 强调文字颜色 3 15" xfId="1501"/>
    <cellStyle name="20% - 强调文字颜色 1 6 3 3" xfId="1502"/>
    <cellStyle name="千位分隔 3 2 5" xfId="1503"/>
    <cellStyle name="20% - 强调文字颜色 1 6 3 3 2" xfId="1504"/>
    <cellStyle name="20% - 强调文字颜色 1 6 3 4" xfId="1505"/>
    <cellStyle name="20% - 强调文字颜色 1 6 4" xfId="1506"/>
    <cellStyle name="强调文字颜色 6 10 8" xfId="1507"/>
    <cellStyle name="强调文字颜色 4 5 4 2" xfId="1508"/>
    <cellStyle name="40% - 强调文字颜色 2 6 9" xfId="1509"/>
    <cellStyle name="20% - 强调文字颜色 1 6 4 2" xfId="1510"/>
    <cellStyle name="输出 10 15 2" xfId="1511"/>
    <cellStyle name="40% - 强调文字颜色 2 8 10" xfId="1512"/>
    <cellStyle name="检查单元格 7 8" xfId="1513"/>
    <cellStyle name="60% - 强调文字颜色 4 12 4" xfId="1514"/>
    <cellStyle name="20% - 强调文字颜色 1 6 4 2 2" xfId="1515"/>
    <cellStyle name="20% - 强调文字颜色 2 10 4" xfId="1516"/>
    <cellStyle name="40% - 强调文字颜色 3 11 4" xfId="1517"/>
    <cellStyle name="20% - 强调文字颜色 1 6 4 3" xfId="1518"/>
    <cellStyle name="40% - 强调文字颜色 2 8 11" xfId="1519"/>
    <cellStyle name="20% - 强调文字颜色 1 6 5" xfId="1520"/>
    <cellStyle name="20% - 强调文字颜色 1 6 5 2" xfId="1521"/>
    <cellStyle name="好_账龄02. 5" xfId="1522"/>
    <cellStyle name="20% - 强调文字颜色 1 8 10" xfId="1523"/>
    <cellStyle name="20% - 强调文字颜色 1 6 6 2" xfId="1524"/>
    <cellStyle name="20% - 强调文字颜色 1 6 7" xfId="1525"/>
    <cellStyle name="40% - 强调文字颜色 3 9 3 3 2" xfId="1526"/>
    <cellStyle name="60% - 强调文字颜色 5 11 2 2 2 2" xfId="1527"/>
    <cellStyle name="40% - 强调文字颜色 1 5 3 2 2" xfId="1528"/>
    <cellStyle name="20% - 强调文字颜色 1 6 8" xfId="1529"/>
    <cellStyle name="40% - 强调文字颜色 4 10 2 2 2 2" xfId="1530"/>
    <cellStyle name="适中 2 4 2 2" xfId="1531"/>
    <cellStyle name="适中 12 5 2" xfId="1532"/>
    <cellStyle name="20% - 强调文字颜色 1 6 9" xfId="1533"/>
    <cellStyle name="20% - 强调文字颜色 6 4 2 2 2" xfId="1534"/>
    <cellStyle name="40% - 强调文字颜色 1 5 3 2 3" xfId="1535"/>
    <cellStyle name="20% - 强调文字颜色 1 7" xfId="1536"/>
    <cellStyle name="强调文字颜色 4 8 9" xfId="1537"/>
    <cellStyle name="20% - 强调文字颜色 1 7 10" xfId="1538"/>
    <cellStyle name="强调文字颜色 6 10 4 2" xfId="1539"/>
    <cellStyle name="40% - 强调文字颜色 6 10 4 2 2" xfId="1540"/>
    <cellStyle name="40% - 强调文字颜色 2 6 5 2" xfId="1541"/>
    <cellStyle name="输出 2 3 3 2" xfId="1542"/>
    <cellStyle name="20% - 强调文字颜色 1 7 11" xfId="1543"/>
    <cellStyle name="输出 2 3 3 3" xfId="1544"/>
    <cellStyle name="计算 8 6 2" xfId="1545"/>
    <cellStyle name="20% - 强调文字颜色 1 7 12" xfId="1546"/>
    <cellStyle name="20% - 强调文字颜色 1 7 2" xfId="1547"/>
    <cellStyle name="强调文字颜色 6 11 6" xfId="1548"/>
    <cellStyle name="60% - 强调文字颜色 4 4 2 2 2" xfId="1549"/>
    <cellStyle name="40% - 强调文字颜色 2 7 7" xfId="1550"/>
    <cellStyle name="20% - 强调文字颜色 1 7 2 2" xfId="1551"/>
    <cellStyle name="20% - 强调文字颜色 1 7 2 2 2" xfId="1552"/>
    <cellStyle name="Border 2 3" xfId="1553"/>
    <cellStyle name="20% - 强调文字颜色 4 3 12" xfId="1554"/>
    <cellStyle name="40% - 强调文字颜色 1 6 2 3" xfId="1555"/>
    <cellStyle name="20% - 强调文字颜色 1 7 2 2 2 2" xfId="1556"/>
    <cellStyle name="输出 8 2 6" xfId="1557"/>
    <cellStyle name="20% - 强调文字颜色 4 5 12" xfId="1558"/>
    <cellStyle name="40% - 强调文字颜色 1 6 2 3 2" xfId="1559"/>
    <cellStyle name="20% - 强调文字颜色 1 7 2 3" xfId="1560"/>
    <cellStyle name="20% - 强调文字颜色 1 7 2 3 2" xfId="1561"/>
    <cellStyle name="60% - 强调文字颜色 5 11 3 2 3" xfId="1562"/>
    <cellStyle name="40% - 强调文字颜色 1 6 3 3" xfId="1563"/>
    <cellStyle name="40% - 强调文字颜色 4 10 3 2 3" xfId="1564"/>
    <cellStyle name="20% - 强调文字颜色 1 7 2 4" xfId="1565"/>
    <cellStyle name="20% - 强调文字颜色 1 7 2 5" xfId="1566"/>
    <cellStyle name="20% - 强调文字颜色 1 7 3" xfId="1567"/>
    <cellStyle name="强调文字颜色 6 11 7" xfId="1568"/>
    <cellStyle name="60% - 强调文字颜色 4 4 2 2 3" xfId="1569"/>
    <cellStyle name="40% - 强调文字颜色 2 7 8" xfId="1570"/>
    <cellStyle name="20% - 强调文字颜色 1 7 3 2" xfId="1571"/>
    <cellStyle name="20% - 强调文字颜色 1 7 3 2 2" xfId="1572"/>
    <cellStyle name="20% - 强调文字颜色 4 8 12" xfId="1573"/>
    <cellStyle name="百分比 4 4" xfId="1574"/>
    <cellStyle name="40% - 强调文字颜色 1 7 2 3" xfId="1575"/>
    <cellStyle name="20% - 强调文字颜色 1 7 3 2 2 2" xfId="1576"/>
    <cellStyle name="百分比 4 4 2" xfId="1577"/>
    <cellStyle name="40% - 强调文字颜色 1 7 2 3 2" xfId="1578"/>
    <cellStyle name="20% - 强调文字颜色 1 7 3 2 3" xfId="1579"/>
    <cellStyle name="常规 2 2 9" xfId="1580"/>
    <cellStyle name="60% - 强调文字颜色 6 10 2 3" xfId="1581"/>
    <cellStyle name="20% - 强调文字颜色 6 11 3 3 2" xfId="1582"/>
    <cellStyle name="注释 8 2 3 2" xfId="1583"/>
    <cellStyle name="百分比 4 5" xfId="1584"/>
    <cellStyle name="20% - 强调文字颜色 6 2 2 2 2 2" xfId="1585"/>
    <cellStyle name="40% - 强调文字颜色 1 7 2 4" xfId="1586"/>
    <cellStyle name="20% - 强调文字颜色 1 7 3 3" xfId="1587"/>
    <cellStyle name="20% - 强调文字颜色 1 7 3 3 2" xfId="1588"/>
    <cellStyle name="百分比 5 4" xfId="1589"/>
    <cellStyle name="40% - 强调文字颜色 1 7 3 3" xfId="1590"/>
    <cellStyle name="40% - 强调文字颜色 3 10 2 4" xfId="1591"/>
    <cellStyle name="20% - 强调文字颜色 1 7 3 4" xfId="1592"/>
    <cellStyle name="20% - 强调文字颜色 1 7 4 2 2" xfId="1593"/>
    <cellStyle name="20% - 强调文字颜色 3 5" xfId="1594"/>
    <cellStyle name="40% - 强调文字颜色 1 8 2 3" xfId="1595"/>
    <cellStyle name="20% - 强调文字颜色 1 7 4 3" xfId="1596"/>
    <cellStyle name="20% - 强调文字颜色 1 7 5 2" xfId="1597"/>
    <cellStyle name="Header2 3 11" xfId="1598"/>
    <cellStyle name="20% - 强调文字颜色 4 10 2" xfId="1599"/>
    <cellStyle name="20% - 强调文字颜色 1 7 6" xfId="1600"/>
    <cellStyle name="20% - 强调文字颜色 4 11" xfId="1601"/>
    <cellStyle name="20% - 强调文字颜色 1 7 6 2" xfId="1602"/>
    <cellStyle name="20% - 强调文字颜色 4 11 2" xfId="1603"/>
    <cellStyle name="20% - 强调文字颜色 1 7 7" xfId="1604"/>
    <cellStyle name="20% - 强调文字颜色 4 12" xfId="1605"/>
    <cellStyle name="20% - 强调文字颜色 1 7 8" xfId="1606"/>
    <cellStyle name="20% - 强调文字颜色 4 13" xfId="1607"/>
    <cellStyle name="40% - 强调文字颜色 1 5 3 3 2" xfId="1608"/>
    <cellStyle name="适中 12 6 2" xfId="1609"/>
    <cellStyle name="20% - 强调文字颜色 1 7 9" xfId="1610"/>
    <cellStyle name="20% - 强调文字颜色 4 14" xfId="1611"/>
    <cellStyle name="60% - 强调文字颜色 6 16" xfId="1612"/>
    <cellStyle name="20% - 强调文字颜色 6 4 2 3 2" xfId="1613"/>
    <cellStyle name="常规 2 2 6 2" xfId="1614"/>
    <cellStyle name="20% - 强调文字颜色 1 8 11" xfId="1615"/>
    <cellStyle name="常规 2 2 6 3" xfId="1616"/>
    <cellStyle name="20% - 强调文字颜色 1 8 12" xfId="1617"/>
    <cellStyle name="20% - 强调文字颜色 1 8 2" xfId="1618"/>
    <cellStyle name="强调文字颜色 6 12 6" xfId="1619"/>
    <cellStyle name="60% - 强调文字颜色 4 4 2 3 2" xfId="1620"/>
    <cellStyle name="40% - 强调文字颜色 2 8 7" xfId="1621"/>
    <cellStyle name="20% - 强调文字颜色 1 8 2 2" xfId="1622"/>
    <cellStyle name="输入 3 10" xfId="1623"/>
    <cellStyle name="解释性文本 10 4" xfId="1624"/>
    <cellStyle name="20% - 强调文字颜色 1 8 2 2 2" xfId="1625"/>
    <cellStyle name="40% - 强调文字颜色 2 6 2 3" xfId="1626"/>
    <cellStyle name="20% - 强调文字颜色 1 8 2 2 2 2" xfId="1627"/>
    <cellStyle name="40% - 强调文字颜色 2 6 2 3 2" xfId="1628"/>
    <cellStyle name="输入 3 11" xfId="1629"/>
    <cellStyle name="解释性文本 10 5" xfId="1630"/>
    <cellStyle name="20% - 强调文字颜色 1 8 2 2 3" xfId="1631"/>
    <cellStyle name="20% - 强调文字颜色 6 12 2 3 2" xfId="1632"/>
    <cellStyle name="40% - 强调文字颜色 2 6 2 4" xfId="1633"/>
    <cellStyle name="20% - 强调文字颜色 1 8 2 3" xfId="1634"/>
    <cellStyle name="40% - 强调文字颜色 2 2 2 2 2 2" xfId="1635"/>
    <cellStyle name="解释性文本 11 4" xfId="1636"/>
    <cellStyle name="60% - 强调文字颜色 3 7 11" xfId="1637"/>
    <cellStyle name="20% - 强调文字颜色 1 8 2 3 2" xfId="1638"/>
    <cellStyle name="汇总 6 5" xfId="1639"/>
    <cellStyle name="20% - 强调文字颜色 3 10 3 2 3" xfId="1640"/>
    <cellStyle name="40% - 强调文字颜色 2 2 2 2 2 2 2" xfId="1641"/>
    <cellStyle name="强调文字颜色 6 10 2 3" xfId="1642"/>
    <cellStyle name="60% - 强调文字颜色 5 12 3 2 3" xfId="1643"/>
    <cellStyle name="40% - 强调文字颜色 2 6 3 3" xfId="1644"/>
    <cellStyle name="好_账龄02 2 3" xfId="1645"/>
    <cellStyle name="40% - 强调文字颜色 4 11 3 2 3" xfId="1646"/>
    <cellStyle name="20% - 强调文字颜色 1 8 2 4" xfId="1647"/>
    <cellStyle name="输出 2 3 2" xfId="1648"/>
    <cellStyle name="40% - 强调文字颜色 2 2 2 2 2 3" xfId="1649"/>
    <cellStyle name="输出 2 3 3" xfId="1650"/>
    <cellStyle name="40% - 强调文字颜色 2 2 2 2 2 4" xfId="1651"/>
    <cellStyle name="计算 11 2 3 2" xfId="1652"/>
    <cellStyle name="20% - 强调文字颜色 1 8 2 5" xfId="1653"/>
    <cellStyle name="40% - 强调文字颜色 3 2 3 2 2 2" xfId="1654"/>
    <cellStyle name="20% - 强调文字颜色 1 8 3" xfId="1655"/>
    <cellStyle name="强调文字颜色 6 12 7" xfId="1656"/>
    <cellStyle name="40% - 强调文字颜色 2 8 8" xfId="1657"/>
    <cellStyle name="20% - 强调文字颜色 1 8 3 2" xfId="1658"/>
    <cellStyle name="输入 8 10" xfId="1659"/>
    <cellStyle name="パーセント_laroux" xfId="1660"/>
    <cellStyle name="20% - 强调文字颜色 1 8 3 2 2" xfId="1661"/>
    <cellStyle name="20% - 强调文字颜色 5 2 2 2 2 3" xfId="1662"/>
    <cellStyle name="40% - 强调文字颜色 2 7 2 3" xfId="1663"/>
    <cellStyle name="20% - 强调文字颜色 1 8 3 2 2 2" xfId="1664"/>
    <cellStyle name="20% - 强调文字颜色 5 2 2 2 2 3 2" xfId="1665"/>
    <cellStyle name="40% - 强调文字颜色 2 7 2 3 2" xfId="1666"/>
    <cellStyle name="输入 8 11" xfId="1667"/>
    <cellStyle name="20% - 强调文字颜色 1 8 3 2 3" xfId="1668"/>
    <cellStyle name="20% - 强调文字颜色 5 2 2 2 2 4" xfId="1669"/>
    <cellStyle name="20% - 强调文字颜色 6 12 3 3 2" xfId="1670"/>
    <cellStyle name="注释 9 2 3 2" xfId="1671"/>
    <cellStyle name="20% - 强调文字颜色 6 2 3 2 2 2" xfId="1672"/>
    <cellStyle name="40% - 强调文字颜色 2 7 2 4" xfId="1673"/>
    <cellStyle name="20% - 强调文字颜色 1 8 3 3" xfId="1674"/>
    <cellStyle name="40% - 强调文字颜色 1 11 2 2 2" xfId="1675"/>
    <cellStyle name="注释 12 16" xfId="1676"/>
    <cellStyle name="40% - 强调文字颜色 2 2 2 2 3 2" xfId="1677"/>
    <cellStyle name="20% - 强调文字颜色 1 8 3 3 2" xfId="1678"/>
    <cellStyle name="40% - 强调文字颜色 1 11 2 2 2 2" xfId="1679"/>
    <cellStyle name="强调文字颜色 6 11 2 3" xfId="1680"/>
    <cellStyle name="60% - 强调文字颜色 2 12 2 2 2 2" xfId="1681"/>
    <cellStyle name="40% - 强调文字颜色 2 7 3 3" xfId="1682"/>
    <cellStyle name="20% - 强调文字颜色 1 8 3 4" xfId="1683"/>
    <cellStyle name="40% - 强调文字颜色 1 11 2 2 3" xfId="1684"/>
    <cellStyle name="20% - 强调文字颜色 1 8 4" xfId="1685"/>
    <cellStyle name="强调文字颜色 6 12 8" xfId="1686"/>
    <cellStyle name="强调文字颜色 4 5 6 2" xfId="1687"/>
    <cellStyle name="40% - 强调文字颜色 2 8 9" xfId="1688"/>
    <cellStyle name="强调文字颜色 3 13" xfId="1689"/>
    <cellStyle name="20% - 强调文字颜色 1 8 4 2" xfId="1690"/>
    <cellStyle name="强调文字颜色 3 13 2" xfId="1691"/>
    <cellStyle name="20% - 强调文字颜色 1 8 4 2 2" xfId="1692"/>
    <cellStyle name="40% - 强调文字颜色 2 8 2 3" xfId="1693"/>
    <cellStyle name="强调文字颜色 3 14" xfId="1694"/>
    <cellStyle name="20% - 强调文字颜色 1 8 4 3" xfId="1695"/>
    <cellStyle name="40% - 强调文字颜色 1 11 2 3 2" xfId="1696"/>
    <cellStyle name="20% - 强调文字颜色 1 8 5" xfId="1697"/>
    <cellStyle name="注释 2 16" xfId="1698"/>
    <cellStyle name="20% - 强调文字颜色 5 9 4 2 2" xfId="1699"/>
    <cellStyle name="20% - 强调文字颜色 1 8 5 2" xfId="1700"/>
    <cellStyle name="20% - 强调文字颜色 1 8 6" xfId="1701"/>
    <cellStyle name="20% - 强调文字颜色 1 8 6 2" xfId="1702"/>
    <cellStyle name="20% - 强调文字颜色 1 8 7" xfId="1703"/>
    <cellStyle name="20% - 强调文字颜色 1 8 8" xfId="1704"/>
    <cellStyle name="20% - 强调文字颜色 1 8 9" xfId="1705"/>
    <cellStyle name="20% - 强调文字颜色 1 9" xfId="1706"/>
    <cellStyle name="60% - 强调文字颜色 4 4 2 4" xfId="1707"/>
    <cellStyle name="20% - 强调文字颜色 2 2 2 2 2" xfId="1708"/>
    <cellStyle name="20% - 强调文字颜色 1 9 12" xfId="1709"/>
    <cellStyle name="20% - 强调文字颜色 1 9 2" xfId="1710"/>
    <cellStyle name="20% - 强调文字颜色 5 8 2 5" xfId="1711"/>
    <cellStyle name="强调文字颜色 6 13 6" xfId="1712"/>
    <cellStyle name="20% - 强调文字颜色 2 2 2 2 2 2" xfId="1713"/>
    <cellStyle name="40% - 强调文字颜色 2 9 7" xfId="1714"/>
    <cellStyle name="20% - 强调文字颜色 1 9 2 2" xfId="1715"/>
    <cellStyle name="强调文字颜色 6 13 6 2" xfId="1716"/>
    <cellStyle name="20% - 强调文字颜色 2 2 2 2 2 2 2" xfId="1717"/>
    <cellStyle name="20% - 强调文字颜色 1 9 2 2 2" xfId="1718"/>
    <cellStyle name="40% - 强调文字颜色 3 6 2 3" xfId="1719"/>
    <cellStyle name="20% - 强调文字颜色 1 9 2 2 2 2" xfId="1720"/>
    <cellStyle name="40% - 强调文字颜色 3 6 2 3 2" xfId="1721"/>
    <cellStyle name="20% - 强调文字颜色 1 9 2 2 3" xfId="1722"/>
    <cellStyle name="20% - 强调文字颜色 6 13 2 3 2" xfId="1723"/>
    <cellStyle name="40% - 强调文字颜色 3 6 2 4" xfId="1724"/>
    <cellStyle name="20% - 强调文字颜色 1 9 2 3" xfId="1725"/>
    <cellStyle name="40% - 强调文字颜色 2 2 2 3 2 2" xfId="1726"/>
    <cellStyle name="20% - 强调文字颜色 1 9 2 3 2" xfId="1727"/>
    <cellStyle name="20% - 强调文字颜色 3 11 3 2 3" xfId="1728"/>
    <cellStyle name="60% - 强调文字颜色 5 13 3 2 3" xfId="1729"/>
    <cellStyle name="40% - 强调文字颜色 1 10 10" xfId="1730"/>
    <cellStyle name="40% - 强调文字颜色 3 6 3 3" xfId="1731"/>
    <cellStyle name="差 17" xfId="1732"/>
    <cellStyle name="40% - 强调文字颜色 4 12 3 2 3" xfId="1733"/>
    <cellStyle name="20% - 强调文字颜色 1 9 2 4" xfId="1734"/>
    <cellStyle name="20% - 强调文字颜色 1 9 2 5" xfId="1735"/>
    <cellStyle name="20% - 强调文字颜色 3 12 2 3 2" xfId="1736"/>
    <cellStyle name="20% - 强调文字颜色 1 9 3" xfId="1737"/>
    <cellStyle name="强调文字颜色 6 13 7" xfId="1738"/>
    <cellStyle name="20% - 强调文字颜色 2 2 2 2 2 3" xfId="1739"/>
    <cellStyle name="40% - 强调文字颜色 2 9 8" xfId="1740"/>
    <cellStyle name="20% - 强调文字颜色 1 9 3 2" xfId="1741"/>
    <cellStyle name="强调文字颜色 6 13 7 2" xfId="1742"/>
    <cellStyle name="20% - 强调文字颜色 2 2 2 2 2 3 2" xfId="1743"/>
    <cellStyle name="标题 2 9 2" xfId="1744"/>
    <cellStyle name="20% - 强调文字颜色 6 2 2 5" xfId="1745"/>
    <cellStyle name="20% - 强调文字颜色 1 9 3 2 2" xfId="1746"/>
    <cellStyle name="40% - 强调文字颜色 3 7 2 3" xfId="1747"/>
    <cellStyle name="20% - 强调文字颜色 1 9 3 2 2 2" xfId="1748"/>
    <cellStyle name="20% - 强调文字颜色 4 11 2 3" xfId="1749"/>
    <cellStyle name="40% - 强调文字颜色 3 7 2 3 2" xfId="1750"/>
    <cellStyle name="20% - 强调文字颜色 1 9 3 2 3" xfId="1751"/>
    <cellStyle name="20% - 强调文字颜色 6 13 3 3 2" xfId="1752"/>
    <cellStyle name="20% - 强调文字颜色 6 2 4 2 2 2" xfId="1753"/>
    <cellStyle name="40% - 强调文字颜色 3 7 2 4" xfId="1754"/>
    <cellStyle name="20% - 强调文字颜色 1 9 3 3" xfId="1755"/>
    <cellStyle name="标题 2 9 3" xfId="1756"/>
    <cellStyle name="20% - 强调文字颜色 6 2 2 6" xfId="1757"/>
    <cellStyle name="40% - 强调文字颜色 1 11 3 2 2" xfId="1758"/>
    <cellStyle name="20% - 强调文字颜色 1 9 3 3 2" xfId="1759"/>
    <cellStyle name="40% - 强调文字颜色 1 11 3 2 2 2" xfId="1760"/>
    <cellStyle name="60% - 强调文字颜色 2 12 3 2 2 2" xfId="1761"/>
    <cellStyle name="40% - 强调文字颜色 3 7 3 3" xfId="1762"/>
    <cellStyle name="20% - 强调文字颜色 1 9 3 4" xfId="1763"/>
    <cellStyle name="40% - 强调文字颜色 1 11 3 2 3" xfId="1764"/>
    <cellStyle name="20% - 强调文字颜色 1 9 4" xfId="1765"/>
    <cellStyle name="20% - 强调文字颜色 3 2 3 2 2 2" xfId="1766"/>
    <cellStyle name="强调文字颜色 6 13 8" xfId="1767"/>
    <cellStyle name="强调文字颜色 4 5 7 2" xfId="1768"/>
    <cellStyle name="20% - 强调文字颜色 2 2 2 2 2 4" xfId="1769"/>
    <cellStyle name="40% - 强调文字颜色 2 9 9" xfId="1770"/>
    <cellStyle name="20% - 强调文字颜色 1 9 4 2" xfId="1771"/>
    <cellStyle name="20% - 强调文字颜色 6 2 3 5" xfId="1772"/>
    <cellStyle name="20% - 强调文字颜色 1 9 4 2 2" xfId="1773"/>
    <cellStyle name="40% - 强调文字颜色 3 8 2 3" xfId="1774"/>
    <cellStyle name="20% - 强调文字颜色 1 9 4 3" xfId="1775"/>
    <cellStyle name="40% - 强调文字颜色 1 11 3 3 2" xfId="1776"/>
    <cellStyle name="20% - 强调文字颜色 1 9 5" xfId="1777"/>
    <cellStyle name="20% - 强调文字颜色 1 9 5 2" xfId="1778"/>
    <cellStyle name="警告文本 5 2 2 2" xfId="1779"/>
    <cellStyle name="20% - 强调文字颜色 6 2 4 5" xfId="1780"/>
    <cellStyle name="20% - 强调文字颜色 1 9 6" xfId="1781"/>
    <cellStyle name="20% - 强调文字颜色 3 5 4 2 2" xfId="1782"/>
    <cellStyle name="20% - 强调文字颜色 4 2 4 2 2 2" xfId="1783"/>
    <cellStyle name="20% - 强调文字颜色 1 9 6 2" xfId="1784"/>
    <cellStyle name="20% - 强调文字颜色 1 9 7" xfId="1785"/>
    <cellStyle name="注释 2 3 2 2" xfId="1786"/>
    <cellStyle name="20% - 强调文字颜色 1 9 8" xfId="1787"/>
    <cellStyle name="20% - 强调文字颜色 1 9 9" xfId="1788"/>
    <cellStyle name="20% - 强调文字颜色 2 10" xfId="1789"/>
    <cellStyle name="强调文字颜色 3 5 3 2 2" xfId="1790"/>
    <cellStyle name="40% - 强调文字颜色 3 11" xfId="1791"/>
    <cellStyle name="60% - 强调文字颜色 1 4 2 2 3" xfId="1792"/>
    <cellStyle name="20% - 强调文字颜色 2 10 10" xfId="1793"/>
    <cellStyle name="20% - 强调文字颜色 4 6 3 3" xfId="1794"/>
    <cellStyle name="40% - 强调文字颜色 3 11 10" xfId="1795"/>
    <cellStyle name="20% - 强调文字颜色 2 10 11" xfId="1796"/>
    <cellStyle name="20% - 强调文字颜色 4 6 3 4" xfId="1797"/>
    <cellStyle name="40% - 强调文字颜色 3 11 11" xfId="1798"/>
    <cellStyle name="20% - 强调文字颜色 2 10 12" xfId="1799"/>
    <cellStyle name="40% - 强调文字颜色 3 11 12" xfId="1800"/>
    <cellStyle name="20% - 强调文字颜色 2 10 2" xfId="1801"/>
    <cellStyle name="40% - 强调文字颜色 3 11 2" xfId="1802"/>
    <cellStyle name="20% - 强调文字颜色 2 10 2 2" xfId="1803"/>
    <cellStyle name="强调文字颜色 2 2 5 2" xfId="1804"/>
    <cellStyle name="20% - 强调文字颜色 4 3" xfId="1805"/>
    <cellStyle name="40% - 强调文字颜色 3 11 2 2" xfId="1806"/>
    <cellStyle name="20% - 强调文字颜色 2 10 2 2 2" xfId="1807"/>
    <cellStyle name="20% - 强调文字颜色 4 3 2" xfId="1808"/>
    <cellStyle name="40% - 强调文字颜色 3 11 2 2 2" xfId="1809"/>
    <cellStyle name="强调文字颜色 4 8 3" xfId="1810"/>
    <cellStyle name="20% - 强调文字颜色 4 3 2 2" xfId="1811"/>
    <cellStyle name="20% - 强调文字颜色 2 10 2 2 2 2" xfId="1812"/>
    <cellStyle name="20% - 强调文字颜色 4 3 4" xfId="1813"/>
    <cellStyle name="输入 10 3" xfId="1814"/>
    <cellStyle name="20% - 强调文字颜色 5 13 11" xfId="1815"/>
    <cellStyle name="40% - 强调文字颜色 5 3 9" xfId="1816"/>
    <cellStyle name="40% - 强调文字颜色 3 11 2 2 2 2" xfId="1817"/>
    <cellStyle name="20% - 强调文字颜色 2 10 2 2 3" xfId="1818"/>
    <cellStyle name="20% - 强调文字颜色 4 3 3" xfId="1819"/>
    <cellStyle name="输入 10 2" xfId="1820"/>
    <cellStyle name="20% - 强调文字颜色 5 13 10" xfId="1821"/>
    <cellStyle name="强调文字颜色 4 8 2" xfId="1822"/>
    <cellStyle name="40% - 强调文字颜色 3 11 2 2 3" xfId="1823"/>
    <cellStyle name="20% - 强调文字颜色 4 4" xfId="1824"/>
    <cellStyle name="20% - 强调文字颜色 2 10 2 3" xfId="1825"/>
    <cellStyle name="40% - 强调文字颜色 1 8 3 2" xfId="1826"/>
    <cellStyle name="40% - 强调文字颜色 3 11 2 3" xfId="1827"/>
    <cellStyle name="20% - 强调文字颜色 4 4 2" xfId="1828"/>
    <cellStyle name="20% - 强调文字颜色 5 12 2 4" xfId="1829"/>
    <cellStyle name="计算 12 2 6" xfId="1830"/>
    <cellStyle name="20% - 强调文字颜色 2 10 2 3 2" xfId="1831"/>
    <cellStyle name="40% - 强调文字颜色 1 8 3 2 2" xfId="1832"/>
    <cellStyle name="40% - 强调文字颜色 3 11 2 3 2" xfId="1833"/>
    <cellStyle name="20% - 强调文字颜色 4 5" xfId="1834"/>
    <cellStyle name="20% - 强调文字颜色 2 10 2 4" xfId="1835"/>
    <cellStyle name="40% - 强调文字颜色 1 8 3 3" xfId="1836"/>
    <cellStyle name="40% - 强调文字颜色 3 11 2 4" xfId="1837"/>
    <cellStyle name="20% - 强调文字颜色 4 6" xfId="1838"/>
    <cellStyle name="20% - 强调文字颜色 2 10 2 5" xfId="1839"/>
    <cellStyle name="40% - 强调文字颜色 1 8 3 4" xfId="1840"/>
    <cellStyle name="40% - 强调文字颜色 3 11 2 5" xfId="1841"/>
    <cellStyle name="20% - 强调文字颜色 2 10 3" xfId="1842"/>
    <cellStyle name="40% - 强调文字颜色 3 11 3" xfId="1843"/>
    <cellStyle name="强调文字颜色 2 2 6 2" xfId="1844"/>
    <cellStyle name="20% - 强调文字颜色 5 3" xfId="1845"/>
    <cellStyle name="20% - 强调文字颜色 2 10 3 2" xfId="1846"/>
    <cellStyle name="40% - 强调文字颜色 1 12 2 4" xfId="1847"/>
    <cellStyle name="60% - 强调文字颜色 2 13 2 4" xfId="1848"/>
    <cellStyle name="40% - 强调文字颜色 3 11 3 2" xfId="1849"/>
    <cellStyle name="20% - 强调文字颜色 2 10 3 2 2" xfId="1850"/>
    <cellStyle name="20% - 强调文字颜色 5 3 2" xfId="1851"/>
    <cellStyle name="40% - 强调文字颜色 3 11 3 2 2" xfId="1852"/>
    <cellStyle name="20% - 强调文字颜色 2 10 3 2 2 2" xfId="1853"/>
    <cellStyle name="20% - 强调文字颜色 5 3 2 2" xfId="1854"/>
    <cellStyle name="20% - 强调文字颜色 6 13 11" xfId="1855"/>
    <cellStyle name="40% - 强调文字颜色 3 11 3 2 2 2" xfId="1856"/>
    <cellStyle name="20% - 强调文字颜色 2 10 3 2 3" xfId="1857"/>
    <cellStyle name="60% - 强调文字颜色 3 2 2 2 2 2 2" xfId="1858"/>
    <cellStyle name="20% - 强调文字颜色 5 3 3" xfId="1859"/>
    <cellStyle name="强调文字颜色 5 8 2" xfId="1860"/>
    <cellStyle name="40% - 强调文字颜色 3 11 3 2 3" xfId="1861"/>
    <cellStyle name="20% - 强调文字颜色 5 4" xfId="1862"/>
    <cellStyle name="20% - 强调文字颜色 2 10 3 3" xfId="1863"/>
    <cellStyle name="40% - 强调文字颜色 1 12 2 5" xfId="1864"/>
    <cellStyle name="40% - 强调文字颜色 1 8 4 2" xfId="1865"/>
    <cellStyle name="60% - 强调文字颜色 2 13 2 5" xfId="1866"/>
    <cellStyle name="40% - 强调文字颜色 3 11 3 3" xfId="1867"/>
    <cellStyle name="20% - 强调文字颜色 5 13 2 4" xfId="1868"/>
    <cellStyle name="20% - 强调文字颜色 5 4 2" xfId="1869"/>
    <cellStyle name="计算 13 2 6" xfId="1870"/>
    <cellStyle name="20% - 强调文字颜色 2 10 3 3 2" xfId="1871"/>
    <cellStyle name="40% - 强调文字颜色 1 8 4 2 2" xfId="1872"/>
    <cellStyle name="40% - 强调文字颜色 3 11 3 3 2" xfId="1873"/>
    <cellStyle name="标题 3 14 2 2" xfId="1874"/>
    <cellStyle name="20% - 强调文字颜色 5 5" xfId="1875"/>
    <cellStyle name="差 12 2 2 2" xfId="1876"/>
    <cellStyle name="20% - 强调文字颜色 2 10 3 4" xfId="1877"/>
    <cellStyle name="40% - 强调文字颜色 1 8 4 3" xfId="1878"/>
    <cellStyle name="40% - 强调文字颜色 3 11 3 4" xfId="1879"/>
    <cellStyle name="强调文字颜色 2 2 7 2" xfId="1880"/>
    <cellStyle name="20% - 强调文字颜色 6 3" xfId="1881"/>
    <cellStyle name="20% - 强调文字颜色 2 10 4 2" xfId="1882"/>
    <cellStyle name="40% - 强调文字颜色 1 12 3 4" xfId="1883"/>
    <cellStyle name="60% - 强调文字颜色 2 13 3 4" xfId="1884"/>
    <cellStyle name="40% - 强调文字颜色 3 11 4 2" xfId="1885"/>
    <cellStyle name="20% - 强调文字颜色 2 10 4 2 2" xfId="1886"/>
    <cellStyle name="Header2 2 2 2 2 5" xfId="1887"/>
    <cellStyle name="20% - 强调文字颜色 6 3 2" xfId="1888"/>
    <cellStyle name="40% - 强调文字颜色 3 11 4 2 2" xfId="1889"/>
    <cellStyle name="20% - 强调文字颜色 6 4" xfId="1890"/>
    <cellStyle name="20% - 强调文字颜色 2 10 4 3" xfId="1891"/>
    <cellStyle name="40% - 强调文字颜色 1 8 5 2" xfId="1892"/>
    <cellStyle name="40% - 强调文字颜色 3 11 4 3" xfId="1893"/>
    <cellStyle name="20% - 强调文字颜色 2 10 5" xfId="1894"/>
    <cellStyle name="40% - 强调文字颜色 3 11 5" xfId="1895"/>
    <cellStyle name="20% - 强调文字颜色 2 10 5 2" xfId="1896"/>
    <cellStyle name="40% - 强调文字颜色 3 11 5 2" xfId="1897"/>
    <cellStyle name="60% - 强调文字颜色 3 4 4 2" xfId="1898"/>
    <cellStyle name="60% - 强调文字颜色 2 2 5 2 2" xfId="1899"/>
    <cellStyle name="20% - 强调文字颜色 2 10 6" xfId="1900"/>
    <cellStyle name="40% - 强调文字颜色 3 11 6" xfId="1901"/>
    <cellStyle name="60% - 强调文字颜色 3 4 4 2 2" xfId="1902"/>
    <cellStyle name="20% - 强调文字颜色 2 10 6 2" xfId="1903"/>
    <cellStyle name="40% - 强调文字颜色 3 11 6 2" xfId="1904"/>
    <cellStyle name="60% - 强调文字颜色 3 4 4 3" xfId="1905"/>
    <cellStyle name="20% - 强调文字颜色 2 10 7" xfId="1906"/>
    <cellStyle name="强调文字颜色 6 8 6 2" xfId="1907"/>
    <cellStyle name="40% - 强调文字颜色 3 11 7" xfId="1908"/>
    <cellStyle name="20% - 强调文字颜色 2 10 8" xfId="1909"/>
    <cellStyle name="40% - 强调文字颜色 3 11 8" xfId="1910"/>
    <cellStyle name="20% - 强调文字颜色 2 10 9" xfId="1911"/>
    <cellStyle name="60% - 强调文字颜色 1 11 3 2 2 2" xfId="1912"/>
    <cellStyle name="40% - 强调文字颜色 3 11 9" xfId="1913"/>
    <cellStyle name="20% - 强调文字颜色 2 11" xfId="1914"/>
    <cellStyle name="40% - 强调文字颜色 3 12" xfId="1915"/>
    <cellStyle name="20% - 强调文字颜色 2 11 10" xfId="1916"/>
    <cellStyle name="20% - 强调文字颜色 4 11 2 3 2" xfId="1917"/>
    <cellStyle name="40% - 强调文字颜色 3 12 10" xfId="1918"/>
    <cellStyle name="60% - 强调文字颜色 3 3 2 3" xfId="1919"/>
    <cellStyle name="20% - 强调文字颜色 2 11 12" xfId="1920"/>
    <cellStyle name="20% - 强调文字颜色 6 2 5 2" xfId="1921"/>
    <cellStyle name="强调文字颜色 6 7 4 2" xfId="1922"/>
    <cellStyle name="40% - 强调文字颜色 3 12 12" xfId="1923"/>
    <cellStyle name="标题 4 3 2 3" xfId="1924"/>
    <cellStyle name="20% - 强调文字颜色 2 11 2" xfId="1925"/>
    <cellStyle name="强调文字颜色 6 7 10" xfId="1926"/>
    <cellStyle name="40% - 强调文字颜色 3 12 2" xfId="1927"/>
    <cellStyle name="好 13 8" xfId="1928"/>
    <cellStyle name="标题 4 3 2 3 2" xfId="1929"/>
    <cellStyle name="20% - 强调文字颜色 2 11 2 2" xfId="1930"/>
    <cellStyle name="注释 12 8" xfId="1931"/>
    <cellStyle name="输出 2 15" xfId="1932"/>
    <cellStyle name="40% - 强调文字颜色 3 12 2 2" xfId="1933"/>
    <cellStyle name="输出 8 11" xfId="1934"/>
    <cellStyle name="20% - 强调文字颜色 2 11 2 2 2" xfId="1935"/>
    <cellStyle name="输出 2 15 2" xfId="1936"/>
    <cellStyle name="40% - 强调文字颜色 3 12 2 2 2" xfId="1937"/>
    <cellStyle name="输出 8 11 2" xfId="1938"/>
    <cellStyle name="20% - 强调文字颜色 2 11 2 2 2 2" xfId="1939"/>
    <cellStyle name="强调文字颜色 4 11 11" xfId="1940"/>
    <cellStyle name="40% - 强调文字颜色 3 12 2 2 2 2" xfId="1941"/>
    <cellStyle name="输出 8 12" xfId="1942"/>
    <cellStyle name="强调文字颜色 5 13 2" xfId="1943"/>
    <cellStyle name="20% - 强调文字颜色 2 11 2 2 3" xfId="1944"/>
    <cellStyle name="20% - 强调文字颜色 6 13 10" xfId="1945"/>
    <cellStyle name="40% - 强调文字颜色 3 12 2 2 3" xfId="1946"/>
    <cellStyle name="20% - 强调文字颜色 2 11 2 3 2" xfId="1947"/>
    <cellStyle name="40% - 强调文字颜色 1 9 3 2 2" xfId="1948"/>
    <cellStyle name="40% - 强调文字颜色 3 12 2 3 2" xfId="1949"/>
    <cellStyle name="20% - 强调文字颜色 2 11 2 4" xfId="1950"/>
    <cellStyle name="40% - 强调文字颜色 1 9 3 3" xfId="1951"/>
    <cellStyle name="40% - 强调文字颜色 3 10 2 2 2 2" xfId="1952"/>
    <cellStyle name="注释 4 10" xfId="1953"/>
    <cellStyle name="输出 2 17" xfId="1954"/>
    <cellStyle name="60% - 强调文字颜色 4 11 2 2 2 2" xfId="1955"/>
    <cellStyle name="20% - 强调文字颜色 4 10 3 2" xfId="1956"/>
    <cellStyle name="40% - 强调文字颜色 3 12 2 4" xfId="1957"/>
    <cellStyle name="20% - 强调文字颜色 6 13 3 2 2 2" xfId="1958"/>
    <cellStyle name="20% - 强调文字颜色 2 11 2 5" xfId="1959"/>
    <cellStyle name="40% - 强调文字颜色 1 9 3 4" xfId="1960"/>
    <cellStyle name="注释 4 11" xfId="1961"/>
    <cellStyle name="输出 2 18" xfId="1962"/>
    <cellStyle name="20% - 强调文字颜色 4 10 3 3" xfId="1963"/>
    <cellStyle name="40% - 强调文字颜色 3 12 2 5" xfId="1964"/>
    <cellStyle name="标题 4 3 2 4" xfId="1965"/>
    <cellStyle name="标题 2 13 3 2 2" xfId="1966"/>
    <cellStyle name="20% - 强调文字颜色 2 11 3" xfId="1967"/>
    <cellStyle name="强调文字颜色 6 7 11" xfId="1968"/>
    <cellStyle name="40% - 强调文字颜色 3 12 3" xfId="1969"/>
    <cellStyle name="20% - 强调文字颜色 2 11 3 2" xfId="1970"/>
    <cellStyle name="40% - 强调文字颜色 1 13 2 4" xfId="1971"/>
    <cellStyle name="注释 13 8" xfId="1972"/>
    <cellStyle name="40% - 强调文字颜色 3 12 3 2" xfId="1973"/>
    <cellStyle name="20% - 强调文字颜色 2 11 3 2 2" xfId="1974"/>
    <cellStyle name="20% - 强调文字颜色 5 13 6" xfId="1975"/>
    <cellStyle name="40% - 强调文字颜色 3 12 3 2 2" xfId="1976"/>
    <cellStyle name="20% - 强调文字颜色 2 11 3 2 2 2" xfId="1977"/>
    <cellStyle name="注释 3 4 5" xfId="1978"/>
    <cellStyle name="20% - 强调文字颜色 5 13 6 2" xfId="1979"/>
    <cellStyle name="强调文字颜色 5 11 11" xfId="1980"/>
    <cellStyle name="计算 13 6 4" xfId="1981"/>
    <cellStyle name="Border 4 8" xfId="1982"/>
    <cellStyle name="40% - 强调文字颜色 3 12 3 2 2 2" xfId="1983"/>
    <cellStyle name="20% - 强调文字颜色 2 11 3 2 3" xfId="1984"/>
    <cellStyle name="标题 2 11 4 2" xfId="1985"/>
    <cellStyle name="20% - 强调文字颜色 5 13 7" xfId="1986"/>
    <cellStyle name="40% - 强调文字颜色 3 12 3 2 3" xfId="1987"/>
    <cellStyle name="20% - 强调文字颜色 2 11 3 3" xfId="1988"/>
    <cellStyle name="40% - 强调文字颜色 1 13 2 5" xfId="1989"/>
    <cellStyle name="40% - 强调文字颜色 1 9 4 2" xfId="1990"/>
    <cellStyle name="注释 13 9" xfId="1991"/>
    <cellStyle name="20% - 强调文字颜色 5 7 2 2 2" xfId="1992"/>
    <cellStyle name="40% - 强调文字颜色 3 12 3 3" xfId="1993"/>
    <cellStyle name="20% - 强调文字颜色 2 11 3 3 2" xfId="1994"/>
    <cellStyle name="40% - 强调文字颜色 1 9 4 2 2" xfId="1995"/>
    <cellStyle name="20% - 强调文字颜色 5 7 2 2 2 2" xfId="1996"/>
    <cellStyle name="40% - 强调文字颜色 3 12 3 3 2" xfId="1997"/>
    <cellStyle name="差 12 3 2 2" xfId="1998"/>
    <cellStyle name="20% - 强调文字颜色 2 11 3 4" xfId="1999"/>
    <cellStyle name="40% - 强调文字颜色 1 9 4 3" xfId="2000"/>
    <cellStyle name="Header2 3 13 2" xfId="2001"/>
    <cellStyle name="20% - 强调文字颜色 4 10 4 2" xfId="2002"/>
    <cellStyle name="20% - 强调文字颜色 5 7 2 2 3" xfId="2003"/>
    <cellStyle name="40% - 强调文字颜色 3 12 3 4" xfId="2004"/>
    <cellStyle name="标题 4 3 2 5" xfId="2005"/>
    <cellStyle name="20% - 强调文字颜色 2 11 4" xfId="2006"/>
    <cellStyle name="强调文字颜色 6 7 12" xfId="2007"/>
    <cellStyle name="40% - 强调文字颜色 3 12 4" xfId="2008"/>
    <cellStyle name="20% - 强调文字颜色 2 11 5" xfId="2009"/>
    <cellStyle name="40% - 强调文字颜色 3 12 5" xfId="2010"/>
    <cellStyle name="20% - 强调文字颜色 2 11 5 2" xfId="2011"/>
    <cellStyle name="注释 20 8" xfId="2012"/>
    <cellStyle name="注释 15 8" xfId="2013"/>
    <cellStyle name="40% - 强调文字颜色 3 12 5 2" xfId="2014"/>
    <cellStyle name="60% - 强调文字颜色 3 4 5 2" xfId="2015"/>
    <cellStyle name="20% - 强调文字颜色 2 11 6" xfId="2016"/>
    <cellStyle name="40% - 强调文字颜色 3 12 6" xfId="2017"/>
    <cellStyle name="20% - 强调文字颜色 2 11 6 2" xfId="2018"/>
    <cellStyle name="40% - 强调文字颜色 1 9" xfId="2019"/>
    <cellStyle name="注释 21 8" xfId="2020"/>
    <cellStyle name="注释 16 8" xfId="2021"/>
    <cellStyle name="40% - 强调文字颜色 3 12 6 2" xfId="2022"/>
    <cellStyle name="20% - 强调文字颜色 2 11 7" xfId="2023"/>
    <cellStyle name="强调文字颜色 6 8 7 2" xfId="2024"/>
    <cellStyle name="40% - 强调文字颜色 3 12 7" xfId="2025"/>
    <cellStyle name="20% - 强调文字颜色 2 11 8" xfId="2026"/>
    <cellStyle name="40% - 强调文字颜色 3 12 8" xfId="2027"/>
    <cellStyle name="20% - 强调文字颜色 2 11 9" xfId="2028"/>
    <cellStyle name="40% - 强调文字颜色 3 12 9" xfId="2029"/>
    <cellStyle name="60% - 强调文字颜色 3 11 3 3 2" xfId="2030"/>
    <cellStyle name="20% - 强调文字颜色 2 12" xfId="2031"/>
    <cellStyle name="强调文字颜色 1 2 6" xfId="2032"/>
    <cellStyle name="40% - 强调文字颜色 2 10 3 3 2" xfId="2033"/>
    <cellStyle name="40% - 强调文字颜色 3 13" xfId="2034"/>
    <cellStyle name="20% - 强调文字颜色 2 12 10" xfId="2035"/>
    <cellStyle name="40% - 强调文字颜色 3 13 10" xfId="2036"/>
    <cellStyle name="注释 22 2 2 2" xfId="2037"/>
    <cellStyle name="注释 17 2 2 2" xfId="2038"/>
    <cellStyle name="20% - 强调文字颜色 2 12 11" xfId="2039"/>
    <cellStyle name="40% - 强调文字颜色 2 3 2 2" xfId="2040"/>
    <cellStyle name="40% - 强调文字颜色 3 13 11" xfId="2041"/>
    <cellStyle name="20% - 强调文字颜色 2 12 12" xfId="2042"/>
    <cellStyle name="解释性文本 2" xfId="2043"/>
    <cellStyle name="40% - 强调文字颜色 2 3 2 3" xfId="2044"/>
    <cellStyle name="强调文字颜色 6 12 3 2 2" xfId="2045"/>
    <cellStyle name="40% - 强调文字颜色 2 8 4 2 2" xfId="2046"/>
    <cellStyle name="40% - 强调文字颜色 3 13 12" xfId="2047"/>
    <cellStyle name="标题 4 3 3 3" xfId="2048"/>
    <cellStyle name="20% - 强调文字颜色 2 12 2" xfId="2049"/>
    <cellStyle name="40% - 强调文字颜色 3 13 2" xfId="2050"/>
    <cellStyle name="20% - 强调文字颜色 2 12 2 2" xfId="2051"/>
    <cellStyle name="输出 7 15" xfId="2052"/>
    <cellStyle name="40% - 强调文字颜色 3 13 2 2" xfId="2053"/>
    <cellStyle name="标题 1 10 3 2" xfId="2054"/>
    <cellStyle name="20% - 强调文字颜色 2 12 2 2 2 2" xfId="2055"/>
    <cellStyle name="千位分隔 2 6" xfId="2056"/>
    <cellStyle name="20% - 强调文字颜色 6 14 2" xfId="2057"/>
    <cellStyle name="百分比 2 3 9" xfId="2058"/>
    <cellStyle name="40% - 强调文字颜色 3 13 2 2 2 2" xfId="2059"/>
    <cellStyle name="标题 1 10 4" xfId="2060"/>
    <cellStyle name="60% - 强调文字颜色 1 8 2 5" xfId="2061"/>
    <cellStyle name="20% - 强调文字颜色 2 12 2 2 3" xfId="2062"/>
    <cellStyle name="20% - 强调文字颜色 6 15" xfId="2063"/>
    <cellStyle name="40% - 强调文字颜色 3 13 2 2 3" xfId="2064"/>
    <cellStyle name="20% - 强调文字颜色 2 12 2 3" xfId="2065"/>
    <cellStyle name="输出 7 16" xfId="2066"/>
    <cellStyle name="40% - 强调文字颜色 3 13 2 3" xfId="2067"/>
    <cellStyle name="标题 1 11 3" xfId="2068"/>
    <cellStyle name="60% - 强调文字颜色 1 8 3 4" xfId="2069"/>
    <cellStyle name="20% - 强调文字颜色 2 12 2 3 2" xfId="2070"/>
    <cellStyle name="40% - 强调文字颜色 3 13 2 3 2" xfId="2071"/>
    <cellStyle name="20% - 强调文字颜色 2 12 2 4" xfId="2072"/>
    <cellStyle name="常规 5 3 8" xfId="2073"/>
    <cellStyle name="百分比 5 3 2 2" xfId="2074"/>
    <cellStyle name="60% - 强调文字颜色 6 13 3 2" xfId="2075"/>
    <cellStyle name="40% - 强调文字颜色 1 7 3 2 2 2" xfId="2076"/>
    <cellStyle name="注释 9 10" xfId="2077"/>
    <cellStyle name="输出 7 17" xfId="2078"/>
    <cellStyle name="20% - 强调文字颜色 4 11 3 2" xfId="2079"/>
    <cellStyle name="40% - 强调文字颜色 3 13 2 4" xfId="2080"/>
    <cellStyle name="标题 2 9 2 3 2" xfId="2081"/>
    <cellStyle name="20% - 强调文字颜色 2 12 2 5" xfId="2082"/>
    <cellStyle name="注释 9 11" xfId="2083"/>
    <cellStyle name="输出 7 18" xfId="2084"/>
    <cellStyle name="20% - 强调文字颜色 4 11 3 3" xfId="2085"/>
    <cellStyle name="40% - 强调文字颜色 3 13 2 5" xfId="2086"/>
    <cellStyle name="20% - 强调文字颜色 2 12 3" xfId="2087"/>
    <cellStyle name="40% - 强调文字颜色 3 13 3" xfId="2088"/>
    <cellStyle name="20% - 强调文字颜色 2 12 3 2" xfId="2089"/>
    <cellStyle name="40% - 强调文字颜色 3 13 3 2" xfId="2090"/>
    <cellStyle name="60% - 强调文字颜色 1 9 2 4" xfId="2091"/>
    <cellStyle name="20% - 强调文字颜色 2 12 3 2 2" xfId="2092"/>
    <cellStyle name="40% - 强调文字颜色 3 13 3 2 2" xfId="2093"/>
    <cellStyle name="60% - 强调文字颜色 1 9 2 5" xfId="2094"/>
    <cellStyle name="20% - 强调文字颜色 2 12 3 2 3" xfId="2095"/>
    <cellStyle name="40% - 强调文字颜色 3 13 3 2 3" xfId="2096"/>
    <cellStyle name="20% - 强调文字颜色 2 12 3 3" xfId="2097"/>
    <cellStyle name="60% - 强调文字颜色 1 5 3 2 2 2" xfId="2098"/>
    <cellStyle name="20% - 强调文字颜色 5 7 3 2 2" xfId="2099"/>
    <cellStyle name="40% - 强调文字颜色 3 13 3 3" xfId="2100"/>
    <cellStyle name="60% - 强调文字颜色 1 9 3 4" xfId="2101"/>
    <cellStyle name="20% - 强调文字颜色 2 12 3 3 2" xfId="2102"/>
    <cellStyle name="20% - 强调文字颜色 5 7 3 2 2 2" xfId="2103"/>
    <cellStyle name="40% - 强调文字颜色 3 13 3 3 2" xfId="2104"/>
    <cellStyle name="20% - 强调文字颜色 2 12 3 4" xfId="2105"/>
    <cellStyle name="20% - 强调文字颜色 6 6 2 2 2 2" xfId="2106"/>
    <cellStyle name="20% - 强调文字颜色 4 11 4 2" xfId="2107"/>
    <cellStyle name="20% - 强调文字颜色 5 7 3 2 3" xfId="2108"/>
    <cellStyle name="40% - 强调文字颜色 3 13 3 4" xfId="2109"/>
    <cellStyle name="Header2 3 2 2 2 2" xfId="2110"/>
    <cellStyle name="20% - 强调文字颜色 2 12 4" xfId="2111"/>
    <cellStyle name="40% - 强调文字颜色 3 13 4" xfId="2112"/>
    <cellStyle name="20% - 强调文字颜色 2 12 4 2" xfId="2113"/>
    <cellStyle name="强调文字颜色 5 10 5" xfId="2114"/>
    <cellStyle name="Header2 2 3" xfId="2115"/>
    <cellStyle name="40% - 强调文字颜色 3 13 4 2" xfId="2116"/>
    <cellStyle name="20% - 强调文字颜色 2 12 4 2 2" xfId="2117"/>
    <cellStyle name="强调文字颜色 5 10 5 2" xfId="2118"/>
    <cellStyle name="Header2 2 3 2" xfId="2119"/>
    <cellStyle name="40% - 强调文字颜色 3 13 4 2 2" xfId="2120"/>
    <cellStyle name="20% - 强调文字颜色 2 12 4 3" xfId="2121"/>
    <cellStyle name="强调文字颜色 5 10 6" xfId="2122"/>
    <cellStyle name="Header2 2 4" xfId="2123"/>
    <cellStyle name="60% - 强调文字颜色 4 2 2 2 2 2 2" xfId="2124"/>
    <cellStyle name="20% - 强调文字颜色 5 7 3 3 2" xfId="2125"/>
    <cellStyle name="40% - 强调文字颜色 3 13 4 3" xfId="2126"/>
    <cellStyle name="20% - 强调文字颜色 2 12 5" xfId="2127"/>
    <cellStyle name="40% - 强调文字颜色 3 13 5" xfId="2128"/>
    <cellStyle name="20% - 强调文字颜色 2 12 5 2" xfId="2129"/>
    <cellStyle name="强调文字颜色 5 11 5" xfId="2130"/>
    <cellStyle name="Header2 3 3" xfId="2131"/>
    <cellStyle name="40% - 强调文字颜色 3 13 5 2" xfId="2132"/>
    <cellStyle name="60% - 强调文字颜色 3 4 6 2" xfId="2133"/>
    <cellStyle name="20% - 强调文字颜色 2 12 6" xfId="2134"/>
    <cellStyle name="40% - 强调文字颜色 3 13 6" xfId="2135"/>
    <cellStyle name="20% - 强调文字颜色 2 12 6 2" xfId="2136"/>
    <cellStyle name="强调文字颜色 5 12 5" xfId="2137"/>
    <cellStyle name="Header2 4 3" xfId="2138"/>
    <cellStyle name="40% - 强调文字颜色 3 13 6 2" xfId="2139"/>
    <cellStyle name="20% - 强调文字颜色 2 12 7" xfId="2140"/>
    <cellStyle name="40% - 强调文字颜色 3 13 7" xfId="2141"/>
    <cellStyle name="20% - 强调文字颜色 2 12 8" xfId="2142"/>
    <cellStyle name="40% - 强调文字颜色 3 13 8" xfId="2143"/>
    <cellStyle name="20% - 强调文字颜色 2 12 9" xfId="2144"/>
    <cellStyle name="Euro" xfId="2145"/>
    <cellStyle name="20% - 强调文字颜色 4 10 3 2 2 2" xfId="2146"/>
    <cellStyle name="40% - 强调文字颜色 3 13 9" xfId="2147"/>
    <cellStyle name="20% - 强调文字颜色 2 13 2 2" xfId="2148"/>
    <cellStyle name="40% - 强调文字颜色 3 14 2 2" xfId="2149"/>
    <cellStyle name="60% - 强调文字颜色 2 8 2 4" xfId="2150"/>
    <cellStyle name="20% - 强调文字颜色 2 13 2 2 2" xfId="2151"/>
    <cellStyle name="40% - 强调文字颜色 3 14 2 2 2" xfId="2152"/>
    <cellStyle name="20% - 强调文字颜色 2 13 2 2 2 2" xfId="2153"/>
    <cellStyle name="输出 13 7 2" xfId="2154"/>
    <cellStyle name="60% - 强调文字颜色 2 8 2 5" xfId="2155"/>
    <cellStyle name="20% - 强调文字颜色 2 13 2 2 3" xfId="2156"/>
    <cellStyle name="20% - 强调文字颜色 2 13 2 3" xfId="2157"/>
    <cellStyle name="40% - 强调文字颜色 3 14 2 3" xfId="2158"/>
    <cellStyle name="60% - 强调文字颜色 2 8 3 4" xfId="2159"/>
    <cellStyle name="20% - 强调文字颜色 2 13 2 3 2" xfId="2160"/>
    <cellStyle name="20% - 强调文字颜色 2 13 2 4" xfId="2161"/>
    <cellStyle name="20% - 强调文字颜色 4 12 3 2" xfId="2162"/>
    <cellStyle name="20% - 强调文字颜色 2 13 2 5" xfId="2163"/>
    <cellStyle name="20% - 强调文字颜色 4 12 3 3" xfId="2164"/>
    <cellStyle name="20% - 强调文字颜色 2 13 3" xfId="2165"/>
    <cellStyle name="40% - 强调文字颜色 3 14 3" xfId="2166"/>
    <cellStyle name="20% - 强调文字颜色 2 13 3 2" xfId="2167"/>
    <cellStyle name="40% - 强调文字颜色 3 14 3 2" xfId="2168"/>
    <cellStyle name="60% - 强调文字颜色 2 9 2 4" xfId="2169"/>
    <cellStyle name="20% - 强调文字颜色 2 13 3 2 2" xfId="2170"/>
    <cellStyle name="20% - 强调文字颜色 2 13 3 2 2 2" xfId="2171"/>
    <cellStyle name="60% - 强调文字颜色 2 9 2 5" xfId="2172"/>
    <cellStyle name="20% - 强调文字颜色 2 13 3 2 3" xfId="2173"/>
    <cellStyle name="20% - 强调文字颜色 2 13 3 3" xfId="2174"/>
    <cellStyle name="20% - 强调文字颜色 5 7 4 2 2" xfId="2175"/>
    <cellStyle name="注释 3 11" xfId="2176"/>
    <cellStyle name="60% - 强调文字颜色 2 9 3 4" xfId="2177"/>
    <cellStyle name="20% - 强调文字颜色 2 13 3 3 2" xfId="2178"/>
    <cellStyle name="20% - 强调文字颜色 2 13 3 4" xfId="2179"/>
    <cellStyle name="20% - 强调文字颜色 4 12 4 2" xfId="2180"/>
    <cellStyle name="Header2 3 2 2 3 2" xfId="2181"/>
    <cellStyle name="20% - 强调文字颜色 2 13 4" xfId="2182"/>
    <cellStyle name="40% - 强调文字颜色 3 14 4" xfId="2183"/>
    <cellStyle name="20% - 强调文字颜色 2 13 4 2" xfId="2184"/>
    <cellStyle name="20% - 强调文字颜色 2 13 4 2 2" xfId="2185"/>
    <cellStyle name="20% - 强调文字颜色 2 13 4 3" xfId="2186"/>
    <cellStyle name="20% - 强调文字颜色 2 13 5" xfId="2187"/>
    <cellStyle name="40% - 强调文字颜色 4 8 2 2 3" xfId="2188"/>
    <cellStyle name="20% - 强调文字颜色 2 13 5 2" xfId="2189"/>
    <cellStyle name="注释 22 3 2 2" xfId="2190"/>
    <cellStyle name="注释 17 3 2 2" xfId="2191"/>
    <cellStyle name="20% - 强调文字颜色 2 13 6" xfId="2192"/>
    <cellStyle name="40% - 强调文字颜色 2 4 2 2" xfId="2193"/>
    <cellStyle name="20% - 强调文字颜色 2 13 6 2" xfId="2194"/>
    <cellStyle name="20% - 强调文字颜色 5 4 10" xfId="2195"/>
    <cellStyle name="40% - 强调文字颜色 2 4 2 2 2" xfId="2196"/>
    <cellStyle name="20% - 强调文字颜色 2 13 7" xfId="2197"/>
    <cellStyle name="常规 6 4 2 2 2 2" xfId="2198"/>
    <cellStyle name="40% - 强调文字颜色 2 4 2 3" xfId="2199"/>
    <cellStyle name="20% - 强调文字颜色 2 13 7 2" xfId="2200"/>
    <cellStyle name="20% - 强调文字颜色 5 4 2 4" xfId="2201"/>
    <cellStyle name="40% - 强调文字颜色 2 4 2 3 2" xfId="2202"/>
    <cellStyle name="20% - 强调文字颜色 2 13 8" xfId="2203"/>
    <cellStyle name="40% - 强调文字颜色 2 4 2 4" xfId="2204"/>
    <cellStyle name="20% - 强调文字颜色 2 13 9" xfId="2205"/>
    <cellStyle name="40% - 强调文字颜色 2 4 2 5" xfId="2206"/>
    <cellStyle name="20% - 强调文字颜色 2 14 2" xfId="2207"/>
    <cellStyle name="40% - 强调文字颜色 3 15 2" xfId="2208"/>
    <cellStyle name="20% - 强调文字颜色 2 14 2 2" xfId="2209"/>
    <cellStyle name="常规 5 3 13" xfId="2210"/>
    <cellStyle name="40% - 强调文字颜色 3 15 2 2" xfId="2211"/>
    <cellStyle name="60% - 强调文字颜色 3 8 2 4" xfId="2212"/>
    <cellStyle name="20% - 强调文字颜色 2 14 2 2 2" xfId="2213"/>
    <cellStyle name="20% - 强调文字颜色 2 14 2 3" xfId="2214"/>
    <cellStyle name="20% - 强调文字颜色 2 14 3" xfId="2215"/>
    <cellStyle name="40% - 强调文字颜色 3 15 3" xfId="2216"/>
    <cellStyle name="20% - 强调文字颜色 2 14 3 2" xfId="2217"/>
    <cellStyle name="20% - 强调文字颜色 2 14 4" xfId="2218"/>
    <cellStyle name="输入 6 3 2 2" xfId="2219"/>
    <cellStyle name="20% - 强调文字颜色 2 15" xfId="2220"/>
    <cellStyle name="40% - 强调文字颜色 3 16" xfId="2221"/>
    <cellStyle name="20% - 强调文字颜色 2 15 2" xfId="2222"/>
    <cellStyle name="20% - 强调文字颜色 2 2 6" xfId="2223"/>
    <cellStyle name="40% - 强调文字颜色 3 16 2" xfId="2224"/>
    <cellStyle name="链接单元格 8 6" xfId="2225"/>
    <cellStyle name="20% - 强调文字颜色 2 15 2 2" xfId="2226"/>
    <cellStyle name="20% - 强调文字颜色 2 2 6 2" xfId="2227"/>
    <cellStyle name="20% - 强调文字颜色 2 15 3" xfId="2228"/>
    <cellStyle name="20% - 强调文字颜色 2 2 7" xfId="2229"/>
    <cellStyle name="20% - 强调文字颜色 2 16" xfId="2230"/>
    <cellStyle name="20% - 强调文字颜色 6 2 7 2" xfId="2231"/>
    <cellStyle name="强调文字颜色 2 10 2" xfId="2232"/>
    <cellStyle name="常规 12 3 2 2" xfId="2233"/>
    <cellStyle name="40% - 强调文字颜色 3 17" xfId="2234"/>
    <cellStyle name="差 7 2 2 2" xfId="2235"/>
    <cellStyle name="20% - 强调文字颜色 2 17" xfId="2236"/>
    <cellStyle name="20% - 强调文字颜色 2 2" xfId="2237"/>
    <cellStyle name="20% - 强调文字颜色 2 2 10" xfId="2238"/>
    <cellStyle name="20% - 强调文字颜色 5 8 3 3 2" xfId="2239"/>
    <cellStyle name="20% - 强调文字颜色 2 2 11" xfId="2240"/>
    <cellStyle name="20% - 强调文字颜色 3 4 3 2 2" xfId="2241"/>
    <cellStyle name="20% - 强调文字颜色 2 2 12" xfId="2242"/>
    <cellStyle name="常规 2 2" xfId="2243"/>
    <cellStyle name="20% - 强调文字颜色 3 4 3 2 3" xfId="2244"/>
    <cellStyle name="20% - 强调文字颜色 2 2 2" xfId="2245"/>
    <cellStyle name="20% - 强调文字颜色 2 5 4 3" xfId="2246"/>
    <cellStyle name="40% - 强调文字颜色 3 2 7" xfId="2247"/>
    <cellStyle name="链接单元格 4 6" xfId="2248"/>
    <cellStyle name="60% - 强调文字颜色 5 10 11" xfId="2249"/>
    <cellStyle name="20% - 强调文字颜色 2 2 2 2" xfId="2250"/>
    <cellStyle name="40% - 强调文字颜色 3 2 7 2" xfId="2251"/>
    <cellStyle name="60% - 强调文字颜色 4 4 2 5" xfId="2252"/>
    <cellStyle name="20% - 强调文字颜色 2 2 2 2 3" xfId="2253"/>
    <cellStyle name="20% - 强调文字颜色 5 15 2 2" xfId="2254"/>
    <cellStyle name="20% - 强调文字颜色 2 2 2 2 3 2" xfId="2255"/>
    <cellStyle name="20% - 强调文字颜色 2 2 2 2 4" xfId="2256"/>
    <cellStyle name="链接单元格 4 7" xfId="2257"/>
    <cellStyle name="60% - 强调文字颜色 5 10 12" xfId="2258"/>
    <cellStyle name="20% - 强调文字颜色 2 2 2 3" xfId="2259"/>
    <cellStyle name="60% - 强调文字颜色 4 4 3 4" xfId="2260"/>
    <cellStyle name="20% - 强调文字颜色 2 2 2 3 2" xfId="2261"/>
    <cellStyle name="20% - 强调文字颜色 2 9" xfId="2262"/>
    <cellStyle name="20% - 强调文字颜色 2 9 2" xfId="2263"/>
    <cellStyle name="20% - 强调文字颜色 5 9 2 5" xfId="2264"/>
    <cellStyle name="20% - 强调文字颜色 2 2 2 3 2 2" xfId="2265"/>
    <cellStyle name="40% - 强调文字颜色 3 9 7" xfId="2266"/>
    <cellStyle name="20% - 强调文字颜色 2 2 2 3 3" xfId="2267"/>
    <cellStyle name="20% - 强调文字颜色 2 2 2 4" xfId="2268"/>
    <cellStyle name="20% - 强调文字颜色 2 2 2 4 2" xfId="2269"/>
    <cellStyle name="20% - 强调文字颜色 3 9" xfId="2270"/>
    <cellStyle name="20% - 强调文字颜色 2 2 2 5" xfId="2271"/>
    <cellStyle name="20% - 强调文字颜色 2 2 2 6" xfId="2272"/>
    <cellStyle name="20% - 强调文字颜色 2 2 3" xfId="2273"/>
    <cellStyle name="40% - 强调文字颜色 3 2 8" xfId="2274"/>
    <cellStyle name="链接单元格 5 6" xfId="2275"/>
    <cellStyle name="20% - 强调文字颜色 2 2 3 2" xfId="2276"/>
    <cellStyle name="60% - 强调文字颜色 4 5 2 4" xfId="2277"/>
    <cellStyle name="20% - 强调文字颜色 2 2 3 2 2" xfId="2278"/>
    <cellStyle name="60% - 强调文字颜色 4 5 2 5" xfId="2279"/>
    <cellStyle name="20% - 强调文字颜色 2 2 3 2 3" xfId="2280"/>
    <cellStyle name="链接单元格 5 7" xfId="2281"/>
    <cellStyle name="20% - 强调文字颜色 2 2 3 3" xfId="2282"/>
    <cellStyle name="60% - 强调文字颜色 4 5 3 4" xfId="2283"/>
    <cellStyle name="20% - 强调文字颜色 2 2 3 3 2" xfId="2284"/>
    <cellStyle name="20% - 强调文字颜色 2 2 3 4" xfId="2285"/>
    <cellStyle name="20% - 强调文字颜色 2 2 3 5" xfId="2286"/>
    <cellStyle name="20% - 强调文字颜色 2 2 4" xfId="2287"/>
    <cellStyle name="强调文字颜色 2 7 3" xfId="2288"/>
    <cellStyle name="60% - 强调文字颜色 1 2 3 2 2 2" xfId="2289"/>
    <cellStyle name="20% - 强调文字颜色 2 7 3 2 2" xfId="2290"/>
    <cellStyle name="40% - 强调文字颜色 3 2 9" xfId="2291"/>
    <cellStyle name="链接单元格 6 6" xfId="2292"/>
    <cellStyle name="20% - 强调文字颜色 2 2 4 2" xfId="2293"/>
    <cellStyle name="强调文字颜色 2 7 3 2" xfId="2294"/>
    <cellStyle name="20% - 强调文字颜色 2 7 3 2 2 2" xfId="2295"/>
    <cellStyle name="60% - 强调文字颜色 4 6 2 4" xfId="2296"/>
    <cellStyle name="20% - 强调文字颜色 2 2 4 2 2" xfId="2297"/>
    <cellStyle name="20% - 强调文字颜色 2 2 4 2 2 2" xfId="2298"/>
    <cellStyle name="60% - 强调文字颜色 4 6 2 5" xfId="2299"/>
    <cellStyle name="20% - 强调文字颜色 2 2 4 2 3" xfId="2300"/>
    <cellStyle name="链接单元格 6 7" xfId="2301"/>
    <cellStyle name="20% - 强调文字颜色 2 2 4 3" xfId="2302"/>
    <cellStyle name="60% - 强调文字颜色 4 6 3 4" xfId="2303"/>
    <cellStyle name="60% - 强调文字颜色 2 10 11" xfId="2304"/>
    <cellStyle name="20% - 强调文字颜色 2 2 4 3 2" xfId="2305"/>
    <cellStyle name="20% - 强调文字颜色 6 10 2 4" xfId="2306"/>
    <cellStyle name="20% - 强调文字颜色 2 2 4 4" xfId="2307"/>
    <cellStyle name="20% - 强调文字颜色 2 2 4 5" xfId="2308"/>
    <cellStyle name="20% - 强调文字颜色 2 2 5" xfId="2309"/>
    <cellStyle name="强调文字颜色 2 7 4" xfId="2310"/>
    <cellStyle name="20% - 强调文字颜色 2 7 3 2 3" xfId="2311"/>
    <cellStyle name="20% - 强调文字颜色 6 3 2 2 2 2" xfId="2312"/>
    <cellStyle name="链接单元格 7 6" xfId="2313"/>
    <cellStyle name="20% - 强调文字颜色 2 2 5 2" xfId="2314"/>
    <cellStyle name="链接单元格 7 7" xfId="2315"/>
    <cellStyle name="20% - 强调文字颜色 2 2 5 3" xfId="2316"/>
    <cellStyle name="链接单元格 9 6" xfId="2317"/>
    <cellStyle name="60% - 强调文字颜色 5 11 11" xfId="2318"/>
    <cellStyle name="20% - 强调文字颜色 2 2 7 2" xfId="2319"/>
    <cellStyle name="40% - 强调文字颜色 6 6 3 4" xfId="2320"/>
    <cellStyle name="40% - 强调文字颜色 4 10 11" xfId="2321"/>
    <cellStyle name="20% - 强调文字颜色 2 2 8" xfId="2322"/>
    <cellStyle name="20% - 强调文字颜色 2 2 9" xfId="2323"/>
    <cellStyle name="强调文字颜色 2 2 3 2" xfId="2324"/>
    <cellStyle name="20% - 强调文字颜色 2 3" xfId="2325"/>
    <cellStyle name="20% - 强调文字颜色 2 3 10" xfId="2326"/>
    <cellStyle name="20% - 强调文字颜色 2 3 11" xfId="2327"/>
    <cellStyle name="20% - 强调文字颜色 2 3 12" xfId="2328"/>
    <cellStyle name="强调文字颜色 2 2 3 2 2" xfId="2329"/>
    <cellStyle name="20% - 强调文字颜色 2 3 2" xfId="2330"/>
    <cellStyle name="20% - 强调文字颜色 6 3 11" xfId="2331"/>
    <cellStyle name="40% - 强调文字颜色 3 3 7" xfId="2332"/>
    <cellStyle name="20% - 强调文字颜色 2 3 2 2" xfId="2333"/>
    <cellStyle name="20% - 强调文字颜色 3 13 11" xfId="2334"/>
    <cellStyle name="60% - 强调文字颜色 5 4 2 4" xfId="2335"/>
    <cellStyle name="20% - 强调文字颜色 2 3 2 2 2" xfId="2336"/>
    <cellStyle name="20% - 强调文字颜色 2 3 2 2 2 2" xfId="2337"/>
    <cellStyle name="60% - 强调文字颜色 5 4 2 5" xfId="2338"/>
    <cellStyle name="20% - 强调文字颜色 2 3 2 2 3" xfId="2339"/>
    <cellStyle name="20% - 强调文字颜色 2 3 2 3" xfId="2340"/>
    <cellStyle name="20% - 强调文字颜色 3 13 12" xfId="2341"/>
    <cellStyle name="60% - 强调文字颜色 5 4 3 4" xfId="2342"/>
    <cellStyle name="20% - 强调文字颜色 2 3 2 3 2" xfId="2343"/>
    <cellStyle name="20% - 强调文字颜色 2 3 2 4" xfId="2344"/>
    <cellStyle name="20% - 强调文字颜色 3 13 13" xfId="2345"/>
    <cellStyle name="20% - 强调文字颜色 2 3 2 5" xfId="2346"/>
    <cellStyle name="20% - 强调文字颜色 2 3 3" xfId="2347"/>
    <cellStyle name="20% - 强调文字颜色 6 3 12" xfId="2348"/>
    <cellStyle name="40% - 强调文字颜色 3 3 8" xfId="2349"/>
    <cellStyle name="20% - 强调文字颜色 2 3 3 2" xfId="2350"/>
    <cellStyle name="20% - 强调文字颜色 6 5 2 2 3" xfId="2351"/>
    <cellStyle name="百分比 10" xfId="2352"/>
    <cellStyle name="60% - 强调文字颜色 5 5 2 4" xfId="2353"/>
    <cellStyle name="20% - 强调文字颜色 2 3 3 2 2" xfId="2354"/>
    <cellStyle name="百分比 10 2" xfId="2355"/>
    <cellStyle name="20% - 强调文字颜色 2 3 3 2 2 2" xfId="2356"/>
    <cellStyle name="60% - 强调文字颜色 5 5 2 5" xfId="2357"/>
    <cellStyle name="20% - 强调文字颜色 2 3 3 2 3" xfId="2358"/>
    <cellStyle name="20% - 强调文字颜色 2 3 3 3" xfId="2359"/>
    <cellStyle name="60% - 强调文字颜色 5 5 3 4" xfId="2360"/>
    <cellStyle name="20% - 强调文字颜色 2 3 3 3 2" xfId="2361"/>
    <cellStyle name="20% - 强调文字颜色 3 4 11" xfId="2362"/>
    <cellStyle name="20% - 强调文字颜色 2 3 3 4" xfId="2363"/>
    <cellStyle name="20% - 强调文字颜色 2 3 4" xfId="2364"/>
    <cellStyle name="强调文字颜色 2 8 3" xfId="2365"/>
    <cellStyle name="20% - 强调文字颜色 2 7 3 3 2" xfId="2366"/>
    <cellStyle name="40% - 强调文字颜色 3 3 9" xfId="2367"/>
    <cellStyle name="20% - 强调文字颜色 2 3 4 2" xfId="2368"/>
    <cellStyle name="40% - 强调文字颜色 1 2 6" xfId="2369"/>
    <cellStyle name="60% - 强调文字颜色 5 6 2 4" xfId="2370"/>
    <cellStyle name="20% - 强调文字颜色 2 3 4 2 2" xfId="2371"/>
    <cellStyle name="40% - 强调文字颜色 1 2 6 2" xfId="2372"/>
    <cellStyle name="20% - 强调文字颜色 2 3 4 3" xfId="2373"/>
    <cellStyle name="40% - 强调文字颜色 1 2 7" xfId="2374"/>
    <cellStyle name="20% - 强调文字颜色 2 3 5" xfId="2375"/>
    <cellStyle name="20% - 强调文字颜色 2 3 6 2" xfId="2376"/>
    <cellStyle name="强调文字颜色 2 10 2 2 2" xfId="2377"/>
    <cellStyle name="40% - 强调文字颜色 1 4 6" xfId="2378"/>
    <cellStyle name="20% - 强调文字颜色 2 3 7" xfId="2379"/>
    <cellStyle name="20% - 强调文字颜色 2 3 8" xfId="2380"/>
    <cellStyle name="适中 13 2 2" xfId="2381"/>
    <cellStyle name="20% - 强调文字颜色 2 3 9" xfId="2382"/>
    <cellStyle name="20% - 强调文字颜色 2 4 10" xfId="2383"/>
    <cellStyle name="标题 2 5 3 2 2" xfId="2384"/>
    <cellStyle name="20% - 强调文字颜色 2 4 11" xfId="2385"/>
    <cellStyle name="40% - 强调文字颜色 3 3 3 3 2" xfId="2386"/>
    <cellStyle name="20% - 强调文字颜色 2 4 12" xfId="2387"/>
    <cellStyle name="60% - 强调文字颜色 6 4 2 4" xfId="2388"/>
    <cellStyle name="20% - 强调文字颜色 2 4 2 2 2" xfId="2389"/>
    <cellStyle name="20% - 强调文字颜色 2 4 2 2 2 2" xfId="2390"/>
    <cellStyle name="60% - 强调文字颜色 6 4 2 5" xfId="2391"/>
    <cellStyle name="20% - 强调文字颜色 2 4 2 2 3" xfId="2392"/>
    <cellStyle name="20% - 强调文字颜色 2 4 2 3" xfId="2393"/>
    <cellStyle name="60% - 强调文字颜色 6 4 3 4" xfId="2394"/>
    <cellStyle name="20% - 强调文字颜色 2 4 2 3 2" xfId="2395"/>
    <cellStyle name="20% - 强调文字颜色 2 4 2 5" xfId="2396"/>
    <cellStyle name="20% - 强调文字颜色 2 4 3" xfId="2397"/>
    <cellStyle name="20% - 强调文字颜色 5 10 2 5" xfId="2398"/>
    <cellStyle name="40% - 强调文字颜色 6 11 2 5" xfId="2399"/>
    <cellStyle name="40% - 强调文字颜色 3 4 8" xfId="2400"/>
    <cellStyle name="20% - 强调文字颜色 2 4 3 2" xfId="2401"/>
    <cellStyle name="20% - 强调文字颜色 6 5 3 2 3" xfId="2402"/>
    <cellStyle name="60% - 强调文字颜色 6 5 2 4" xfId="2403"/>
    <cellStyle name="20% - 强调文字颜色 2 4 3 2 2" xfId="2404"/>
    <cellStyle name="20% - 强调文字颜色 2 4 3 2 2 2" xfId="2405"/>
    <cellStyle name="40% - 强调文字颜色 1 10 7" xfId="2406"/>
    <cellStyle name="60% - 强调文字颜色 6 5 2 5" xfId="2407"/>
    <cellStyle name="20% - 强调文字颜色 2 4 3 2 3" xfId="2408"/>
    <cellStyle name="20% - 强调文字颜色 2 4 3 3" xfId="2409"/>
    <cellStyle name="60% - 强调文字颜色 6 5 3 4" xfId="2410"/>
    <cellStyle name="20% - 强调文字颜色 2 4 3 3 2" xfId="2411"/>
    <cellStyle name="20% - 强调文字颜色 2 4 3 4" xfId="2412"/>
    <cellStyle name="20% - 强调文字颜色 2 4 4" xfId="2413"/>
    <cellStyle name="强调文字颜色 4 6 2 2" xfId="2414"/>
    <cellStyle name="40% - 强调文字颜色 3 4 9" xfId="2415"/>
    <cellStyle name="20% - 强调文字颜色 2 4 4 2" xfId="2416"/>
    <cellStyle name="强调文字颜色 4 6 2 2 2" xfId="2417"/>
    <cellStyle name="40% - 强调文字颜色 2 2 6" xfId="2418"/>
    <cellStyle name="60% - 强调文字颜色 6 6 2 4" xfId="2419"/>
    <cellStyle name="20% - 强调文字颜色 2 4 4 2 2" xfId="2420"/>
    <cellStyle name="常规 18 3 2 9" xfId="2421"/>
    <cellStyle name="40% - 强调文字颜色 2 2 6 2" xfId="2422"/>
    <cellStyle name="20% - 强调文字颜色 2 4 5" xfId="2423"/>
    <cellStyle name="20% - 强调文字颜色 2 4 5 2" xfId="2424"/>
    <cellStyle name="40% - 强调文字颜色 2 3 6" xfId="2425"/>
    <cellStyle name="差 7 2 2 2 2" xfId="2426"/>
    <cellStyle name="20% - 强调文字颜色 2 4 6" xfId="2427"/>
    <cellStyle name="20% - 强调文字颜色 2 4 6 2" xfId="2428"/>
    <cellStyle name="强调文字颜色 2 10 3 2 2" xfId="2429"/>
    <cellStyle name="差_中国书店瑞祥泰 (09审计）往来科目需填写表格" xfId="2430"/>
    <cellStyle name="40% - 强调文字颜色 6 10 2 3" xfId="2431"/>
    <cellStyle name="40% - 强调文字颜色 2 4 6" xfId="2432"/>
    <cellStyle name="revised" xfId="2433"/>
    <cellStyle name="20% - 强调文字颜色 2 4 7" xfId="2434"/>
    <cellStyle name="20% - 强调文字颜色 2 4 8" xfId="2435"/>
    <cellStyle name="适中 13 3 2" xfId="2436"/>
    <cellStyle name="20% - 强调文字颜色 2 4 9" xfId="2437"/>
    <cellStyle name="20% - 强调文字颜色 2 5" xfId="2438"/>
    <cellStyle name="20% - 强调文字颜色 2 5 10" xfId="2439"/>
    <cellStyle name="20% - 强调文字颜色 2 5 11" xfId="2440"/>
    <cellStyle name="40% - 强调文字颜色 2 10 2 2 2 2" xfId="2441"/>
    <cellStyle name="20% - 强调文字颜色 2 5 12" xfId="2442"/>
    <cellStyle name="20% - 强调文字颜色 5 13 3 2 2 2" xfId="2443"/>
    <cellStyle name="20% - 强调文字颜色 2 5 2" xfId="2444"/>
    <cellStyle name="20% - 强调文字颜色 5 10 3 4" xfId="2445"/>
    <cellStyle name="40% - 强调文字颜色 6 11 3 4" xfId="2446"/>
    <cellStyle name="40% - 强调文字颜色 3 5 7" xfId="2447"/>
    <cellStyle name="20% - 强调文字颜色 2 5 2 2" xfId="2448"/>
    <cellStyle name="20% - 强调文字颜色 2 5 2 2 2" xfId="2449"/>
    <cellStyle name="60% - 强调文字颜色 2 3 2 4" xfId="2450"/>
    <cellStyle name="20% - 强调文字颜色 2 5 2 2 2 2" xfId="2451"/>
    <cellStyle name="好 2 9" xfId="2452"/>
    <cellStyle name="20% - 强调文字颜色 5 2 5 3" xfId="2453"/>
    <cellStyle name="20% - 强调文字颜色 2 5 2 2 3" xfId="2454"/>
    <cellStyle name="20% - 强调文字颜色 2 5 2 3" xfId="2455"/>
    <cellStyle name="20% - 强调文字颜色 2 5 2 3 2" xfId="2456"/>
    <cellStyle name="20% - 强调文字颜色 2 5 2 4" xfId="2457"/>
    <cellStyle name="20% - 强调文字颜色 2 5 2 5" xfId="2458"/>
    <cellStyle name="20% - 强调文字颜色 2 5 3" xfId="2459"/>
    <cellStyle name="40% - 强调文字颜色 3 5 8" xfId="2460"/>
    <cellStyle name="20% - 强调文字颜色 2 5 3 2" xfId="2461"/>
    <cellStyle name="汇总 13 9" xfId="2462"/>
    <cellStyle name="20% - 强调文字颜色 2 5 3 2 2" xfId="2463"/>
    <cellStyle name="60% - 强调文字颜色 3 3 2 4" xfId="2464"/>
    <cellStyle name="20% - 强调文字颜色 2 5 3 2 2 2" xfId="2465"/>
    <cellStyle name="20% - 强调文字颜色 6 2 5 3" xfId="2466"/>
    <cellStyle name="20% - 强调文字颜色 2 5 3 2 3" xfId="2467"/>
    <cellStyle name="20% - 强调文字颜色 2 5 3 3" xfId="2468"/>
    <cellStyle name="20% - 强调文字颜色 2 5 3 3 2" xfId="2469"/>
    <cellStyle name="20% - 强调文字颜色 2 5 3 4" xfId="2470"/>
    <cellStyle name="20% - 强调文字颜色 2 5 4" xfId="2471"/>
    <cellStyle name="强调文字颜色 4 6 3 2" xfId="2472"/>
    <cellStyle name="40% - 强调文字颜色 3 5 9" xfId="2473"/>
    <cellStyle name="20% - 强调文字颜色 2 5 4 2" xfId="2474"/>
    <cellStyle name="强调文字颜色 4 6 3 2 2" xfId="2475"/>
    <cellStyle name="40% - 强调文字颜色 3 2 6" xfId="2476"/>
    <cellStyle name="链接单元格 3 6" xfId="2477"/>
    <cellStyle name="20% - 强调文字颜色 2 5 4 2 2" xfId="2478"/>
    <cellStyle name="40% - 强调文字颜色 3 2 6 2" xfId="2479"/>
    <cellStyle name="20% - 强调文字颜色 2 5 5" xfId="2480"/>
    <cellStyle name="20% - 强调文字颜色 2 5 5 2" xfId="2481"/>
    <cellStyle name="20% - 强调文字颜色 6 3 10" xfId="2482"/>
    <cellStyle name="40% - 强调文字颜色 3 3 6" xfId="2483"/>
    <cellStyle name="20% - 强调文字颜色 2 5 6" xfId="2484"/>
    <cellStyle name="20% - 强调文字颜色 2 5 6 2" xfId="2485"/>
    <cellStyle name="20% - 强调文字颜色 5 10 2 3" xfId="2486"/>
    <cellStyle name="注释 5 9" xfId="2487"/>
    <cellStyle name="计算 10 2 5" xfId="2488"/>
    <cellStyle name="40% - 强调文字颜色 3 2 2 2 4" xfId="2489"/>
    <cellStyle name="40% - 强调文字颜色 6 11 2 3" xfId="2490"/>
    <cellStyle name="40% - 强调文字颜色 3 4 6" xfId="2491"/>
    <cellStyle name="20% - 强调文字颜色 2 5 7" xfId="2492"/>
    <cellStyle name="20% - 强调文字颜色 5 9 2 2 2 2" xfId="2493"/>
    <cellStyle name="40% - 强调文字颜色 3 9 4 2 2" xfId="2494"/>
    <cellStyle name="だ_laroux" xfId="2495"/>
    <cellStyle name="20% - 强调文字颜色 2 5 8" xfId="2496"/>
    <cellStyle name="适中 13 4 2" xfId="2497"/>
    <cellStyle name="20% - 强调文字颜色 2 5 9" xfId="2498"/>
    <cellStyle name="20% - 强调文字颜色 6 9 3 2 2 2" xfId="2499"/>
    <cellStyle name="20% - 强调文字颜色 2 6" xfId="2500"/>
    <cellStyle name="20% - 强调文字颜色 6 11 4 2 2" xfId="2501"/>
    <cellStyle name="20% - 强调文字颜色 2 6 10" xfId="2502"/>
    <cellStyle name="20% - 强调文字颜色 2 6 11" xfId="2503"/>
    <cellStyle name="20% - 强调文字颜色 2 6 12" xfId="2504"/>
    <cellStyle name="20% - 强调文字颜色 2 6 2" xfId="2505"/>
    <cellStyle name="40% - 强调文字颜色 3 6 7" xfId="2506"/>
    <cellStyle name="20% - 强调文字颜色 2 6 2 2" xfId="2507"/>
    <cellStyle name="20% - 强调文字颜色 2 6 2 2 2" xfId="2508"/>
    <cellStyle name="20% - 强调文字颜色 2 6 2 2 2 2" xfId="2509"/>
    <cellStyle name="好 9 2" xfId="2510"/>
    <cellStyle name="20% - 强调文字颜色 2 6 2 2 3" xfId="2511"/>
    <cellStyle name="20% - 强调文字颜色 2 6 2 3" xfId="2512"/>
    <cellStyle name="20% - 强调文字颜色 2 6 2 3 2" xfId="2513"/>
    <cellStyle name="20% - 强调文字颜色 2 6 2 4" xfId="2514"/>
    <cellStyle name="20% - 强调文字颜色 2 6 2 5" xfId="2515"/>
    <cellStyle name="60% - 强调文字颜色 1 2 2 2" xfId="2516"/>
    <cellStyle name="20% - 强调文字颜色 2 6 3" xfId="2517"/>
    <cellStyle name="40% - 强调文字颜色 3 6 8" xfId="2518"/>
    <cellStyle name="60% - 强调文字颜色 1 2 2 2 2" xfId="2519"/>
    <cellStyle name="20% - 强调文字颜色 2 6 3 2" xfId="2520"/>
    <cellStyle name="差 10 2 3" xfId="2521"/>
    <cellStyle name="60% - 强调文字颜色 1 2 2 2 2 2" xfId="2522"/>
    <cellStyle name="20% - 强调文字颜色 2 6 3 2 2" xfId="2523"/>
    <cellStyle name="差 10 2 3 2" xfId="2524"/>
    <cellStyle name="60% - 强调文字颜色 1 2 2 2 2 2 2" xfId="2525"/>
    <cellStyle name="20% - 强调文字颜色 2 6 3 2 2 2" xfId="2526"/>
    <cellStyle name="差 10 2 4" xfId="2527"/>
    <cellStyle name="60% - 强调文字颜色 1 2 2 2 2 3" xfId="2528"/>
    <cellStyle name="20% - 强调文字颜色 2 6 3 2 3" xfId="2529"/>
    <cellStyle name="60% - 强调文字颜色 1 2 2 2 3" xfId="2530"/>
    <cellStyle name="20% - 强调文字颜色 2 6 3 3" xfId="2531"/>
    <cellStyle name="40% - 强调文字颜色 1 11 10" xfId="2532"/>
    <cellStyle name="差 10 3 3" xfId="2533"/>
    <cellStyle name="60% - 强调文字颜色 1 2 2 2 3 2" xfId="2534"/>
    <cellStyle name="20% - 强调文字颜色 2 6 3 3 2" xfId="2535"/>
    <cellStyle name="20% - 强调文字颜色 2 6 3 4" xfId="2536"/>
    <cellStyle name="40% - 强调文字颜色 1 11 11" xfId="2537"/>
    <cellStyle name="60% - 强调文字颜色 1 2 2 3" xfId="2538"/>
    <cellStyle name="20% - 强调文字颜色 2 6 4" xfId="2539"/>
    <cellStyle name="强调文字颜色 4 6 4 2" xfId="2540"/>
    <cellStyle name="40% - 强调文字颜色 3 6 9" xfId="2541"/>
    <cellStyle name="60% - 强调文字颜色 1 2 2 3 2" xfId="2542"/>
    <cellStyle name="20% - 强调文字颜色 2 6 4 2" xfId="2543"/>
    <cellStyle name="差 11 2 3" xfId="2544"/>
    <cellStyle name="60% - 强调文字颜色 1 2 2 3 2 2" xfId="2545"/>
    <cellStyle name="20% - 强调文字颜色 2 6 4 2 2" xfId="2546"/>
    <cellStyle name="60% - 强调文字颜色 1 2 2 3 3" xfId="2547"/>
    <cellStyle name="20% - 强调文字颜色 2 6 4 3" xfId="2548"/>
    <cellStyle name="20% - 强调文字颜色 3 2 2" xfId="2549"/>
    <cellStyle name="60% - 强调文字颜色 1 2 2 4" xfId="2550"/>
    <cellStyle name="20% - 强调文字颜色 2 6 5" xfId="2551"/>
    <cellStyle name="60% - 强调文字颜色 1 2 2 4 2" xfId="2552"/>
    <cellStyle name="20% - 强调文字颜色 2 6 5 2" xfId="2553"/>
    <cellStyle name="20% - 强调文字颜色 6 8 10" xfId="2554"/>
    <cellStyle name="60% - 强调文字颜色 1 2 2 5" xfId="2555"/>
    <cellStyle name="20% - 强调文字颜色 2 6 6" xfId="2556"/>
    <cellStyle name="20% - 强调文字颜色 2 6 6 2" xfId="2557"/>
    <cellStyle name="20% - 强调文字颜色 5 11 2 3" xfId="2558"/>
    <cellStyle name="20% - 强调文字颜色 2 6 7" xfId="2559"/>
    <cellStyle name="20% - 强调文字颜色 2 6 8" xfId="2560"/>
    <cellStyle name="40% - 强调文字颜色 1 5 4 2 2" xfId="2561"/>
    <cellStyle name="适中 13 5 2" xfId="2562"/>
    <cellStyle name="强调文字颜色 6 9 2 2 2" xfId="2563"/>
    <cellStyle name="20% - 强调文字颜色 2 6 9" xfId="2564"/>
    <cellStyle name="百分比 2 13" xfId="2565"/>
    <cellStyle name="20% - 强调文字颜色 6 4 3 2 2" xfId="2566"/>
    <cellStyle name="20% - 强调文字颜色 2 7" xfId="2567"/>
    <cellStyle name="20% - 强调文字颜色 2 7 10" xfId="2568"/>
    <cellStyle name="输出 11 11 2" xfId="2569"/>
    <cellStyle name="20% - 强调文字颜色 3 2 2 2 2 3" xfId="2570"/>
    <cellStyle name="20% - 强调文字颜色 2 7 11" xfId="2571"/>
    <cellStyle name="20% - 强调文字颜色 3 2 2 2 2 4" xfId="2572"/>
    <cellStyle name="千位分隔 7 3" xfId="2573"/>
    <cellStyle name="20% - 强调文字颜色 3 4 4 2 2" xfId="2574"/>
    <cellStyle name="强调文字颜色 3 9 3 2 2" xfId="2575"/>
    <cellStyle name="20% - 强调文字颜色 4 2 3 2 2 2" xfId="2576"/>
    <cellStyle name="20% - 强调文字颜色 2 7 12" xfId="2577"/>
    <cellStyle name="20% - 强调文字颜色 2 7 2" xfId="2578"/>
    <cellStyle name="60% - 强调文字颜色 4 4 3 2 2" xfId="2579"/>
    <cellStyle name="40% - 强调文字颜色 3 7 7" xfId="2580"/>
    <cellStyle name="20% - 强调文字颜色 2 7 2 2" xfId="2581"/>
    <cellStyle name="20% - 强调文字颜色 2 7 2 3" xfId="2582"/>
    <cellStyle name="20% - 强调文字颜色 2 7 2 4" xfId="2583"/>
    <cellStyle name="20% - 强调文字颜色 2 7 2 5" xfId="2584"/>
    <cellStyle name="60% - 强调文字颜色 1 2 3 2" xfId="2585"/>
    <cellStyle name="20% - 强调文字颜色 2 7 3" xfId="2586"/>
    <cellStyle name="60% - 强调文字颜色 4 4 3 2 3" xfId="2587"/>
    <cellStyle name="40% - 强调文字颜色 3 7 8" xfId="2588"/>
    <cellStyle name="60% - 强调文字颜色 1 2 3 2 2" xfId="2589"/>
    <cellStyle name="20% - 强调文字颜色 2 7 3 2" xfId="2590"/>
    <cellStyle name="60% - 强调文字颜色 1 2 3 2 3" xfId="2591"/>
    <cellStyle name="20% - 强调文字颜色 2 7 3 3" xfId="2592"/>
    <cellStyle name="20% - 强调文字颜色 2 7 3 4" xfId="2593"/>
    <cellStyle name="60% - 强调文字颜色 1 2 3 3" xfId="2594"/>
    <cellStyle name="20% - 强调文字颜色 2 7 4" xfId="2595"/>
    <cellStyle name="强调文字颜色 4 6 5 2" xfId="2596"/>
    <cellStyle name="40% - 强调文字颜色 3 7 9" xfId="2597"/>
    <cellStyle name="60% - 强调文字颜色 1 2 3 3 2" xfId="2598"/>
    <cellStyle name="20% - 强调文字颜色 2 7 4 2" xfId="2599"/>
    <cellStyle name="强调文字颜色 3 7 3" xfId="2600"/>
    <cellStyle name="20% - 强调文字颜色 2 7 4 2 2" xfId="2601"/>
    <cellStyle name="20% - 强调文字颜色 3 2 4" xfId="2602"/>
    <cellStyle name="20% - 强调文字颜色 2 7 4 3" xfId="2603"/>
    <cellStyle name="20% - 强调文字颜色 4 2 2" xfId="2604"/>
    <cellStyle name="60% - 强调文字颜色 1 2 3 4" xfId="2605"/>
    <cellStyle name="20% - 强调文字颜色 2 7 5" xfId="2606"/>
    <cellStyle name="20% - 强调文字颜色 2 7 5 2" xfId="2607"/>
    <cellStyle name="20% - 强调文字颜色 2 7 6" xfId="2608"/>
    <cellStyle name="20% - 强调文字颜色 2 7 6 2" xfId="2609"/>
    <cellStyle name="20% - 强调文字颜色 5 12 2 3" xfId="2610"/>
    <cellStyle name="20% - 强调文字颜色 2 7 7" xfId="2611"/>
    <cellStyle name="20% - 强调文字颜色 2 7 8" xfId="2612"/>
    <cellStyle name="适中 13 6 2" xfId="2613"/>
    <cellStyle name="20% - 强调文字颜色 2 7 9" xfId="2614"/>
    <cellStyle name="20% - 强调文字颜色 6 4 3 3 2" xfId="2615"/>
    <cellStyle name="20% - 强调文字颜色 2 8" xfId="2616"/>
    <cellStyle name="20% - 强调文字颜色 2 8 10" xfId="2617"/>
    <cellStyle name="20% - 强调文字颜色 2 8 11" xfId="2618"/>
    <cellStyle name="20% - 强调文字颜色 2 8 12" xfId="2619"/>
    <cellStyle name="输出 11 6 6" xfId="2620"/>
    <cellStyle name="汇总 2 4 3" xfId="2621"/>
    <cellStyle name="40% - 强调文字颜色 1 11 5" xfId="2622"/>
    <cellStyle name="20% - 强调文字颜色 2 8 2 2" xfId="2623"/>
    <cellStyle name="40% - 强调文字颜色 1 2 2 2 2 3" xfId="2624"/>
    <cellStyle name="40% - 强调文字颜色 1 11 5 2" xfId="2625"/>
    <cellStyle name="20% - 强调文字颜色 2 8 2 2 2" xfId="2626"/>
    <cellStyle name="40% - 强调文字颜色 1 2 2 2 2 3 2" xfId="2627"/>
    <cellStyle name="20% - 强调文字颜色 2 8 2 2 2 2" xfId="2628"/>
    <cellStyle name="20% - 强调文字颜色 2 8 2 2 3" xfId="2629"/>
    <cellStyle name="千位分隔[0] 2" xfId="2630"/>
    <cellStyle name="20% - 强调文字颜色 2 8 2 3" xfId="2631"/>
    <cellStyle name="40% - 强调文字颜色 1 2 2 2 2 4" xfId="2632"/>
    <cellStyle name="40% - 强调文字颜色 1 11 6" xfId="2633"/>
    <cellStyle name="40% - 强调文字颜色 2 2 3 2 2 2" xfId="2634"/>
    <cellStyle name="千位分隔[0] 2 2" xfId="2635"/>
    <cellStyle name="20% - 强调文字颜色 2 8 2 3 2" xfId="2636"/>
    <cellStyle name="40% - 强调文字颜色 1 11 6 2" xfId="2637"/>
    <cellStyle name="20% - 强调文字颜色 2 8 2 4" xfId="2638"/>
    <cellStyle name="40% - 强调文字颜色 1 11 7" xfId="2639"/>
    <cellStyle name="40% - 强调文字颜色 1 11 8" xfId="2640"/>
    <cellStyle name="计算 12 2 3 2" xfId="2641"/>
    <cellStyle name="20% - 强调文字颜色 2 8 2 5" xfId="2642"/>
    <cellStyle name="40% - 强调文字颜色 3 2 4 2 2 2" xfId="2643"/>
    <cellStyle name="60% - 强调文字颜色 1 2 4 2" xfId="2644"/>
    <cellStyle name="20% - 强调文字颜色 2 8 3" xfId="2645"/>
    <cellStyle name="20% - 强调文字颜色 6 4 12" xfId="2646"/>
    <cellStyle name="40% - 强调文字颜色 3 8 8" xfId="2647"/>
    <cellStyle name="60% - 强调文字颜色 1 2 4 2 2" xfId="2648"/>
    <cellStyle name="20% - 强调文字颜色 2 8 3 2" xfId="2649"/>
    <cellStyle name="40% - 强调文字颜色 1 12 5" xfId="2650"/>
    <cellStyle name="60% - 强调文字颜色 1 2 4 2 2 2" xfId="2651"/>
    <cellStyle name="20% - 强调文字颜色 2 8 3 2 2" xfId="2652"/>
    <cellStyle name="40% - 强调文字颜色 1 12 5 2" xfId="2653"/>
    <cellStyle name="20% - 强调文字颜色 2 8 3 2 2 2" xfId="2654"/>
    <cellStyle name="20% - 强调文字颜色 5 11" xfId="2655"/>
    <cellStyle name="20% - 强调文字颜色 2 8 3 2 3" xfId="2656"/>
    <cellStyle name="样式 1 3 2 3" xfId="2657"/>
    <cellStyle name="20% - 强调文字颜色 6 3 3 2 2 2" xfId="2658"/>
    <cellStyle name="20% - 强调文字颜色 2 8 3 3 2" xfId="2659"/>
    <cellStyle name="40% - 强调文字颜色 1 12 2 2 2 2" xfId="2660"/>
    <cellStyle name="40% - 强调文字颜色 1 12 6 2" xfId="2661"/>
    <cellStyle name="20% - 强调文字颜色 2 8 3 4" xfId="2662"/>
    <cellStyle name="40% - 强调文字颜色 1 12 2 2 3" xfId="2663"/>
    <cellStyle name="40% - 强调文字颜色 1 12 7" xfId="2664"/>
    <cellStyle name="60% - 强调文字颜色 1 2 4 3 2" xfId="2665"/>
    <cellStyle name="20% - 强调文字颜色 2 8 4 2" xfId="2666"/>
    <cellStyle name="40% - 强调文字颜色 1 13 5" xfId="2667"/>
    <cellStyle name="常规 9 6" xfId="2668"/>
    <cellStyle name="20% - 强调文字颜色 2 8 4 2 2" xfId="2669"/>
    <cellStyle name="常规 7 14 3" xfId="2670"/>
    <cellStyle name="40% - 强调文字颜色 1 13 5 2" xfId="2671"/>
    <cellStyle name="40% - 强调文字颜色 1 7" xfId="2672"/>
    <cellStyle name="20% - 强调文字颜色 2 8 4 3" xfId="2673"/>
    <cellStyle name="20% - 强调文字颜色 5 2 2" xfId="2674"/>
    <cellStyle name="40% - 强调文字颜色 1 12 2 3 2" xfId="2675"/>
    <cellStyle name="40% - 强调文字颜色 1 13 6" xfId="2676"/>
    <cellStyle name="60% - 强调文字颜色 1 2 4 4" xfId="2677"/>
    <cellStyle name="20% - 强调文字颜色 2 8 5" xfId="2678"/>
    <cellStyle name="20% - 强调文字颜色 2 8 5 2" xfId="2679"/>
    <cellStyle name="20% - 强调文字颜色 2 8 6" xfId="2680"/>
    <cellStyle name="20% - 强调文字颜色 2 8 6 2" xfId="2681"/>
    <cellStyle name="20% - 强调文字颜色 5 13 2 3" xfId="2682"/>
    <cellStyle name="20% - 强调文字颜色 2 8 7" xfId="2683"/>
    <cellStyle name="20% - 强调文字颜色 2 8 8" xfId="2684"/>
    <cellStyle name="20% - 强调文字颜色 2 8 9" xfId="2685"/>
    <cellStyle name="20% - 强调文字颜色 2 9 10" xfId="2686"/>
    <cellStyle name="20% - 强调文字颜色 2 9 11" xfId="2687"/>
    <cellStyle name="20% - 强调文字颜色 2 9 12" xfId="2688"/>
    <cellStyle name="20% - 强调文字颜色 2 9 2 2" xfId="2689"/>
    <cellStyle name="20% - 强调文字颜色 2 9 2 2 2" xfId="2690"/>
    <cellStyle name="20% - 强调文字颜色 5 5 7" xfId="2691"/>
    <cellStyle name="20% - 强调文字颜色 2 9 2 2 2 2" xfId="2692"/>
    <cellStyle name="20% - 强调文字颜色 2 9 2 2 3" xfId="2693"/>
    <cellStyle name="60% - 强调文字颜色 5 9 3 3 2" xfId="2694"/>
    <cellStyle name="20% - 强调文字颜色 5 5 8" xfId="2695"/>
    <cellStyle name="20% - 强调文字颜色 2 9 2 4" xfId="2696"/>
    <cellStyle name="20% - 强调文字颜色 2 9 2 5" xfId="2697"/>
    <cellStyle name="20% - 强调文字颜色 3 13 2 3 2" xfId="2698"/>
    <cellStyle name="60% - 强调文字颜色 1 2 5 2" xfId="2699"/>
    <cellStyle name="20% - 强调文字颜色 2 9 3" xfId="2700"/>
    <cellStyle name="输出 8 2 2 2" xfId="2701"/>
    <cellStyle name="40% - 强调文字颜色 3 9 8" xfId="2702"/>
    <cellStyle name="60% - 强调文字颜色 1 2 5 2 2" xfId="2703"/>
    <cellStyle name="20% - 强调文字颜色 2 9 3 2" xfId="2704"/>
    <cellStyle name="20% - 强调文字颜色 2 9 3 2 2" xfId="2705"/>
    <cellStyle name="20% - 强调文字颜色 6 5 7" xfId="2706"/>
    <cellStyle name="40% - 强调文字颜色 1 2 2 2 3" xfId="2707"/>
    <cellStyle name="20% - 强调文字颜色 2 9 3 2 2 2" xfId="2708"/>
    <cellStyle name="40% - 强调文字颜色 2 6 11" xfId="2709"/>
    <cellStyle name="20% - 强调文字颜色 2 9 3 2 3" xfId="2710"/>
    <cellStyle name="20% - 强调文字颜色 6 5 8" xfId="2711"/>
    <cellStyle name="20% - 强调文字颜色 2 9 3 3" xfId="2712"/>
    <cellStyle name="40% - 强调文字颜色 1 12 3 2 2" xfId="2713"/>
    <cellStyle name="常规 5 12" xfId="2714"/>
    <cellStyle name="20% - 强调文字颜色 2 9 3 3 2" xfId="2715"/>
    <cellStyle name="注释 12 12" xfId="2716"/>
    <cellStyle name="20% - 强调文字颜色 6 6 7" xfId="2717"/>
    <cellStyle name="适中 4 9" xfId="2718"/>
    <cellStyle name="40% - 强调文字颜色 1 12 3 2 2 2" xfId="2719"/>
    <cellStyle name="20% - 强调文字颜色 2 9 3 4" xfId="2720"/>
    <cellStyle name="40% - 强调文字颜色 1 12 3 2 3" xfId="2721"/>
    <cellStyle name="60% - 强调文字颜色 1 2 5 3" xfId="2722"/>
    <cellStyle name="20% - 强调文字颜色 2 9 4" xfId="2723"/>
    <cellStyle name="输出 8 2 2 3" xfId="2724"/>
    <cellStyle name="强调文字颜色 4 6 7 2" xfId="2725"/>
    <cellStyle name="40% - 强调文字颜色 3 9 9" xfId="2726"/>
    <cellStyle name="20% - 强调文字颜色 2 9 4 2" xfId="2727"/>
    <cellStyle name="20% - 强调文字颜色 2 9 4 2 2" xfId="2728"/>
    <cellStyle name="20% - 强调文字颜色 2 9 4 3" xfId="2729"/>
    <cellStyle name="20% - 强调文字颜色 6 2 2" xfId="2730"/>
    <cellStyle name="40% - 强调文字颜色 1 12 3 3 2" xfId="2731"/>
    <cellStyle name="20% - 强调文字颜色 2 9 5" xfId="2732"/>
    <cellStyle name="Header2 2 2 2 2 4" xfId="2733"/>
    <cellStyle name="20% - 强调文字颜色 2 9 5 2" xfId="2734"/>
    <cellStyle name="20% - 强调文字颜色 2 9 6" xfId="2735"/>
    <cellStyle name="20% - 强调文字颜色 2 9 6 2" xfId="2736"/>
    <cellStyle name="20% - 强调文字颜色 5 14 2 3" xfId="2737"/>
    <cellStyle name="20% - 强调文字颜色 2 9 7" xfId="2738"/>
    <cellStyle name="注释 2 4 2 2" xfId="2739"/>
    <cellStyle name="20% - 强调文字颜色 2 9 8" xfId="2740"/>
    <cellStyle name="20% - 强调文字颜色 2 9 9" xfId="2741"/>
    <cellStyle name="60% - 强调文字颜色 1 5 2 2 3" xfId="2742"/>
    <cellStyle name="20% - 强调文字颜色 3 10 10" xfId="2743"/>
    <cellStyle name="20% - 强调文字颜色 5 6 3 3" xfId="2744"/>
    <cellStyle name="40% - 强调文字颜色 4 11 10" xfId="2745"/>
    <cellStyle name="20% - 强调文字颜色 3 10 11" xfId="2746"/>
    <cellStyle name="20% - 强调文字颜色 5 6 3 4" xfId="2747"/>
    <cellStyle name="40% - 强调文字颜色 4 11 11" xfId="2748"/>
    <cellStyle name="20% - 强调文字颜色 3 10 12" xfId="2749"/>
    <cellStyle name="40% - 强调文字颜色 4 11 12" xfId="2750"/>
    <cellStyle name="20% - 强调文字颜色 3 10 2 2 2" xfId="2751"/>
    <cellStyle name="60% - 强调文字颜色 5 12 2 2 2" xfId="2752"/>
    <cellStyle name="40% - 强调文字颜色 2 5 3 2" xfId="2753"/>
    <cellStyle name="40% - 强调文字颜色 4 11 2 2 2" xfId="2754"/>
    <cellStyle name="20% - 强调文字颜色 3 10 2 2 2 2" xfId="2755"/>
    <cellStyle name="60% - 强调文字颜色 5 12 2 2 2 2" xfId="2756"/>
    <cellStyle name="40% - 强调文字颜色 2 5 3 2 2" xfId="2757"/>
    <cellStyle name="Header2 2 2 6" xfId="2758"/>
    <cellStyle name="40% - 强调文字颜色 4 11 2 2 2 2" xfId="2759"/>
    <cellStyle name="20% - 强调文字颜色 3 10 2 2 3" xfId="2760"/>
    <cellStyle name="60% - 强调文字颜色 5 12 2 2 3" xfId="2761"/>
    <cellStyle name="40% - 强调文字颜色 2 5 3 3" xfId="2762"/>
    <cellStyle name="40% - 强调文字颜色 4 11 2 2 3" xfId="2763"/>
    <cellStyle name="40% - 强调文字颜色 6 8 3 2" xfId="2764"/>
    <cellStyle name="20% - 强调文字颜色 3 10 2 3" xfId="2765"/>
    <cellStyle name="60% - 强调文字颜色 5 12 2 3" xfId="2766"/>
    <cellStyle name="40% - 强调文字颜色 2 5 4" xfId="2767"/>
    <cellStyle name="40% - 强调文字颜色 4 11 2 3" xfId="2768"/>
    <cellStyle name="accountCodeD" xfId="2769"/>
    <cellStyle name="40% - 强调文字颜色 6 8 3 2 2" xfId="2770"/>
    <cellStyle name="20% - 强调文字颜色 3 10 2 3 2" xfId="2771"/>
    <cellStyle name="40% - 强调文字颜色 2 2 10" xfId="2772"/>
    <cellStyle name="60% - 强调文字颜色 5 12 2 3 2" xfId="2773"/>
    <cellStyle name="40% - 强调文字颜色 2 5 4 2" xfId="2774"/>
    <cellStyle name="强调文字颜色 4 10 2 4" xfId="2775"/>
    <cellStyle name="40% - 强调文字颜色 4 11 2 3 2" xfId="2776"/>
    <cellStyle name="40% - 强调文字颜色 6 8 3 3" xfId="2777"/>
    <cellStyle name="20% - 强调文字颜色 3 10 2 4" xfId="2778"/>
    <cellStyle name="输入 2 5 2 2" xfId="2779"/>
    <cellStyle name="60% - 强调文字颜色 5 12 2 4" xfId="2780"/>
    <cellStyle name="40% - 强调文字颜色 6 10 3 2" xfId="2781"/>
    <cellStyle name="40% - 强调文字颜色 2 5 5" xfId="2782"/>
    <cellStyle name="千位分隔[0] 2 3 2 2" xfId="2783"/>
    <cellStyle name="40% - 强调文字颜色 4 11 2 4" xfId="2784"/>
    <cellStyle name="40% - 强调文字颜色 6 8 3 4" xfId="2785"/>
    <cellStyle name="20% - 强调文字颜色 3 10 2 5" xfId="2786"/>
    <cellStyle name="60% - 强调文字颜色 5 12 2 5" xfId="2787"/>
    <cellStyle name="40% - 强调文字颜色 6 10 3 3" xfId="2788"/>
    <cellStyle name="40% - 强调文字颜色 2 5 6" xfId="2789"/>
    <cellStyle name="40% - 强调文字颜色 4 11 2 5" xfId="2790"/>
    <cellStyle name="汇总 6 4" xfId="2791"/>
    <cellStyle name="20% - 强调文字颜色 3 10 3 2 2" xfId="2792"/>
    <cellStyle name="强调文字颜色 6 10 2 2" xfId="2793"/>
    <cellStyle name="60% - 强调文字颜色 5 12 3 2 2" xfId="2794"/>
    <cellStyle name="40% - 强调文字颜色 2 6 3 2" xfId="2795"/>
    <cellStyle name="好_账龄02 2 2" xfId="2796"/>
    <cellStyle name="常规 10 2 5" xfId="2797"/>
    <cellStyle name="40% - 强调文字颜色 4 11 3 2 2" xfId="2798"/>
    <cellStyle name="汇总 6 4 2" xfId="2799"/>
    <cellStyle name="20% - 强调文字颜色 3 10 3 2 2 2" xfId="2800"/>
    <cellStyle name="强调文字颜色 6 10 2 2 2" xfId="2801"/>
    <cellStyle name="警告文本 5 6" xfId="2802"/>
    <cellStyle name="60% - 强调文字颜色 5 12 3 2 2 2" xfId="2803"/>
    <cellStyle name="40% - 强调文字颜色 2 6 3 2 2" xfId="2804"/>
    <cellStyle name="好_账龄02 2 2 2" xfId="2805"/>
    <cellStyle name="40% - 强调文字颜色 4 11 3 2 2 2" xfId="2806"/>
    <cellStyle name="40% - 强调文字颜色 6 8 4 3" xfId="2807"/>
    <cellStyle name="20% - 强调文字颜色 3 10 3 4" xfId="2808"/>
    <cellStyle name="强调文字颜色 6 10 4" xfId="2809"/>
    <cellStyle name="60% - 强调文字颜色 5 12 3 4" xfId="2810"/>
    <cellStyle name="40% - 强调文字颜色 6 10 4 2" xfId="2811"/>
    <cellStyle name="40% - 强调文字颜色 2 6 5" xfId="2812"/>
    <cellStyle name="好_账龄02 4" xfId="2813"/>
    <cellStyle name="40% - 强调文字颜色 4 11 3 4" xfId="2814"/>
    <cellStyle name="20% - 强调文字颜色 3 10 4" xfId="2815"/>
    <cellStyle name="40% - 强调文字颜色 4 11 4" xfId="2816"/>
    <cellStyle name="20% - 强调文字颜色 3 10 4 2 2" xfId="2817"/>
    <cellStyle name="20% - 强调文字颜色 5 2 2 2 3 2" xfId="2818"/>
    <cellStyle name="强调文字颜色 6 11 2 2" xfId="2819"/>
    <cellStyle name="60% - 强调文字颜色 5 12 4 2 2" xfId="2820"/>
    <cellStyle name="40% - 强调文字颜色 2 7 3 2" xfId="2821"/>
    <cellStyle name="40% - 强调文字颜色 4 11 4 2 2" xfId="2822"/>
    <cellStyle name="40% - 强调文字颜色 6 8 5 2" xfId="2823"/>
    <cellStyle name="20% - 强调文字颜色 3 10 4 3" xfId="2824"/>
    <cellStyle name="20% - 强调文字颜色 5 2 2 2 4" xfId="2825"/>
    <cellStyle name="强调文字颜色 6 11 3" xfId="2826"/>
    <cellStyle name="60% - 强调文字颜色 5 12 4 3" xfId="2827"/>
    <cellStyle name="40% - 强调文字颜色 2 7 4" xfId="2828"/>
    <cellStyle name="40% - 强调文字颜色 4 11 4 3" xfId="2829"/>
    <cellStyle name="20% - 强调文字颜色 3 10 5" xfId="2830"/>
    <cellStyle name="40% - 强调文字颜色 4 11 5" xfId="2831"/>
    <cellStyle name="标题 1 4" xfId="2832"/>
    <cellStyle name="20% - 强调文字颜色 3 10 5 2" xfId="2833"/>
    <cellStyle name="20% - 强调文字颜色 5 2 2 3 3" xfId="2834"/>
    <cellStyle name="强调文字颜色 6 12 2" xfId="2835"/>
    <cellStyle name="60% - 强调文字颜色 5 12 5 2" xfId="2836"/>
    <cellStyle name="40% - 强调文字颜色 2 8 3" xfId="2837"/>
    <cellStyle name="40% - 强调文字颜色 4 11 5 2" xfId="2838"/>
    <cellStyle name="60% - 强调文字颜色 3 9 4 2" xfId="2839"/>
    <cellStyle name="20% - 强调文字颜色 3 10 6" xfId="2840"/>
    <cellStyle name="40% - 强调文字颜色 1 2 5 2 2" xfId="2841"/>
    <cellStyle name="好_账龄10" xfId="2842"/>
    <cellStyle name="40% - 强调文字颜色 4 11 6" xfId="2843"/>
    <cellStyle name="标题 2 4" xfId="2844"/>
    <cellStyle name="60% - 强调文字颜色 3 9 4 2 2" xfId="2845"/>
    <cellStyle name="20% - 强调文字颜色 3 10 6 2" xfId="2846"/>
    <cellStyle name="强调文字颜色 6 13 2" xfId="2847"/>
    <cellStyle name="60% - 强调文字颜色 5 12 6 2" xfId="2848"/>
    <cellStyle name="40% - 强调文字颜色 2 9 3" xfId="2849"/>
    <cellStyle name="好_账龄10 2" xfId="2850"/>
    <cellStyle name="40% - 强调文字颜色 4 11 6 2" xfId="2851"/>
    <cellStyle name="60% - 强调文字颜色 3 9 4 3" xfId="2852"/>
    <cellStyle name="20% - 强调文字颜色 3 10 7" xfId="2853"/>
    <cellStyle name="好_账龄11" xfId="2854"/>
    <cellStyle name="40% - 强调文字颜色 4 11 7" xfId="2855"/>
    <cellStyle name="20% - 强调文字颜色 3 10 8" xfId="2856"/>
    <cellStyle name="好_账龄12" xfId="2857"/>
    <cellStyle name="好_账龄07" xfId="2858"/>
    <cellStyle name="20% - 强调文字颜色 4 13 4 2 2" xfId="2859"/>
    <cellStyle name="40% - 强调文字颜色 4 11 8" xfId="2860"/>
    <cellStyle name="20% - 强调文字颜色 3 10 9" xfId="2861"/>
    <cellStyle name="好_账龄08" xfId="2862"/>
    <cellStyle name="40% - 强调文字颜色 4 11 9" xfId="2863"/>
    <cellStyle name="差 2 4 3" xfId="2864"/>
    <cellStyle name="20% - 强调文字颜色 3 11 10" xfId="2865"/>
    <cellStyle name="20% - 强调文字颜色 4 12 2 3 2" xfId="2866"/>
    <cellStyle name="40% - 强调文字颜色 4 12 10" xfId="2867"/>
    <cellStyle name="60% - 强调文字颜色 4 3 2 3" xfId="2868"/>
    <cellStyle name="20% - 强调文字颜色 3 11 12" xfId="2869"/>
    <cellStyle name="计算 14 2 2" xfId="2870"/>
    <cellStyle name="40% - 强调文字颜色 4 12 12" xfId="2871"/>
    <cellStyle name="标题 4 8 2 3 2" xfId="2872"/>
    <cellStyle name="20% - 强调文字颜色 3 11 2 2" xfId="2873"/>
    <cellStyle name="60% - 强调文字颜色 5 13 2 2" xfId="2874"/>
    <cellStyle name="40% - 强调文字颜色 3 5 3" xfId="2875"/>
    <cellStyle name="40% - 强调文字颜色 4 12 2 2" xfId="2876"/>
    <cellStyle name="20% - 强调文字颜色 3 11 2 2 2" xfId="2877"/>
    <cellStyle name="60% - 强调文字颜色 5 13 2 2 2" xfId="2878"/>
    <cellStyle name="40% - 强调文字颜色 3 5 3 2" xfId="2879"/>
    <cellStyle name="40% - 强调文字颜色 4 12 2 2 2" xfId="2880"/>
    <cellStyle name="差_账龄10 2 4" xfId="2881"/>
    <cellStyle name="20% - 强调文字颜色 3 11 2 2 2 2" xfId="2882"/>
    <cellStyle name="常规 4 2 13" xfId="2883"/>
    <cellStyle name="60% - 强调文字颜色 5 13 2 2 2 2" xfId="2884"/>
    <cellStyle name="40% - 强调文字颜色 3 5 3 2 2" xfId="2885"/>
    <cellStyle name="40% - 强调文字颜色 4 12 2 2 2 2" xfId="2886"/>
    <cellStyle name="20% - 强调文字颜色 3 11 2 2 3" xfId="2887"/>
    <cellStyle name="60% - 强调文字颜色 5 13 2 2 3" xfId="2888"/>
    <cellStyle name="40% - 强调文字颜色 3 5 3 3" xfId="2889"/>
    <cellStyle name="40% - 强调文字颜色 4 12 2 2 3" xfId="2890"/>
    <cellStyle name="40% - 强调文字颜色 6 9 3 2" xfId="2891"/>
    <cellStyle name="20% - 强调文字颜色 3 11 2 3" xfId="2892"/>
    <cellStyle name="注释 6 7" xfId="2893"/>
    <cellStyle name="计算 10 3 3" xfId="2894"/>
    <cellStyle name="40% - 强调文字颜色 3 2 2 3 2" xfId="2895"/>
    <cellStyle name="60% - 强调文字颜色 5 13 2 3" xfId="2896"/>
    <cellStyle name="40% - 强调文字颜色 3 5 4" xfId="2897"/>
    <cellStyle name="40% - 强调文字颜色 2 9 3 2 2 2" xfId="2898"/>
    <cellStyle name="40% - 强调文字颜色 4 12 2 3" xfId="2899"/>
    <cellStyle name="40% - 强调文字颜色 6 9 3 2 2" xfId="2900"/>
    <cellStyle name="20% - 强调文字颜色 3 11 2 3 2" xfId="2901"/>
    <cellStyle name="注释 6 7 2" xfId="2902"/>
    <cellStyle name="40% - 强调文字颜色 3 2 2 3 2 2" xfId="2903"/>
    <cellStyle name="60% - 强调文字颜色 5 13 2 3 2" xfId="2904"/>
    <cellStyle name="40% - 强调文字颜色 3 5 4 2" xfId="2905"/>
    <cellStyle name="40% - 强调文字颜色 4 12 2 3 2" xfId="2906"/>
    <cellStyle name="40% - 强调文字颜色 6 9 3 3" xfId="2907"/>
    <cellStyle name="20% - 强调文字颜色 3 11 2 4" xfId="2908"/>
    <cellStyle name="注释 6 8" xfId="2909"/>
    <cellStyle name="计算 10 3 4" xfId="2910"/>
    <cellStyle name="40% - 强调文字颜色 3 2 2 3 3" xfId="2911"/>
    <cellStyle name="60% - 强调文字颜色 5 13 2 4" xfId="2912"/>
    <cellStyle name="40% - 强调文字颜色 6 11 3 2" xfId="2913"/>
    <cellStyle name="40% - 强调文字颜色 3 5 5" xfId="2914"/>
    <cellStyle name="千位分隔[0] 2 4 2 2" xfId="2915"/>
    <cellStyle name="20% - 强调文字颜色 5 10 3 2" xfId="2916"/>
    <cellStyle name="40% - 强调文字颜色 4 12 2 4" xfId="2917"/>
    <cellStyle name="40% - 强调文字颜色 6 9 3 4" xfId="2918"/>
    <cellStyle name="20% - 强调文字颜色 3 11 2 5" xfId="2919"/>
    <cellStyle name="60% - 强调文字颜色 5 13 2 5" xfId="2920"/>
    <cellStyle name="40% - 强调文字颜色 6 11 3 3" xfId="2921"/>
    <cellStyle name="40% - 强调文字颜色 3 5 6" xfId="2922"/>
    <cellStyle name="20% - 强调文字颜色 5 10 3 3" xfId="2923"/>
    <cellStyle name="40% - 强调文字颜色 4 12 2 5" xfId="2924"/>
    <cellStyle name="标题 4 8 2 4" xfId="2925"/>
    <cellStyle name="20% - 强调文字颜色 3 11 3" xfId="2926"/>
    <cellStyle name="40% - 强调文字颜色 4 12 3" xfId="2927"/>
    <cellStyle name="20% - 强调文字颜色 3 11 3 2 2" xfId="2928"/>
    <cellStyle name="60% - 强调文字颜色 5 13 3 2 2" xfId="2929"/>
    <cellStyle name="40% - 强调文字颜色 3 6 3 2" xfId="2930"/>
    <cellStyle name="差 16" xfId="2931"/>
    <cellStyle name="40% - 强调文字颜色 4 12 3 2 2" xfId="2932"/>
    <cellStyle name="20% - 强调文字颜色 3 11 3 2 2 2" xfId="2933"/>
    <cellStyle name="60% - 强调文字颜色 5 13 3 2 2 2" xfId="2934"/>
    <cellStyle name="40% - 强调文字颜色 3 6 3 2 2" xfId="2935"/>
    <cellStyle name="差 16 2" xfId="2936"/>
    <cellStyle name="40% - 强调文字颜色 4 12 3 2 2 2" xfId="2937"/>
    <cellStyle name="40% - 强调文字颜色 6 9 4 2 2" xfId="2938"/>
    <cellStyle name="20% - 强调文字颜色 3 11 3 3 2" xfId="2939"/>
    <cellStyle name="60% - 强调文字颜色 5 13 3 3 2" xfId="2940"/>
    <cellStyle name="40% - 强调文字颜色 3 6 4 2" xfId="2941"/>
    <cellStyle name="40% - 强调文字颜色 4 12 3 3 2" xfId="2942"/>
    <cellStyle name="40% - 强调文字颜色 6 9 4 3" xfId="2943"/>
    <cellStyle name="20% - 强调文字颜色 3 11 3 4" xfId="2944"/>
    <cellStyle name="20% - 强调文字颜色 6 10 9" xfId="2945"/>
    <cellStyle name="60% - 强调文字颜色 5 13 3 4" xfId="2946"/>
    <cellStyle name="40% - 强调文字颜色 6 11 4 2" xfId="2947"/>
    <cellStyle name="40% - 强调文字颜色 3 6 5" xfId="2948"/>
    <cellStyle name="20% - 强调文字颜色 5 10 4 2" xfId="2949"/>
    <cellStyle name="40% - 强调文字颜色 4 12 3 4" xfId="2950"/>
    <cellStyle name="标题 4 8 2 5" xfId="2951"/>
    <cellStyle name="20% - 强调文字颜色 3 11 4" xfId="2952"/>
    <cellStyle name="40% - 强调文字颜色 4 12 4" xfId="2953"/>
    <cellStyle name="20% - 强调文字颜色 3 11 4 2 2" xfId="2954"/>
    <cellStyle name="60% - 强调文字颜色 5 13 4 2 2" xfId="2955"/>
    <cellStyle name="40% - 强调文字颜色 3 7 3 2" xfId="2956"/>
    <cellStyle name="40% - 强调文字颜色 4 12 4 2 2" xfId="2957"/>
    <cellStyle name="40% - 强调文字颜色 6 9 5 2" xfId="2958"/>
    <cellStyle name="20% - 强调文字颜色 3 11 4 3" xfId="2959"/>
    <cellStyle name="20% - 强调文字颜色 6 11 8" xfId="2960"/>
    <cellStyle name="60% - 强调文字颜色 5 13 4 3" xfId="2961"/>
    <cellStyle name="40% - 强调文字颜色 3 7 4" xfId="2962"/>
    <cellStyle name="40% - 强调文字颜色 4 12 4 3" xfId="2963"/>
    <cellStyle name="20% - 强调文字颜色 3 11 5" xfId="2964"/>
    <cellStyle name="40% - 强调文字颜色 4 12 5" xfId="2965"/>
    <cellStyle name="20% - 强调文字颜色 3 11 5 2" xfId="2966"/>
    <cellStyle name="强调文字颜色 3 3 2 2 2" xfId="2967"/>
    <cellStyle name="20% - 强调文字颜色 6 12 7" xfId="2968"/>
    <cellStyle name="60% - 强调文字颜色 5 13 5 2" xfId="2969"/>
    <cellStyle name="40% - 强调文字颜色 3 8 3" xfId="2970"/>
    <cellStyle name="40% - 强调文字颜色 4 12 5 2" xfId="2971"/>
    <cellStyle name="60% - 强调文字颜色 3 9 5 2" xfId="2972"/>
    <cellStyle name="20% - 强调文字颜色 3 11 6" xfId="2973"/>
    <cellStyle name="40% - 强调文字颜色 4 12 6" xfId="2974"/>
    <cellStyle name="20% - 强调文字颜色 3 11 6 2" xfId="2975"/>
    <cellStyle name="20% - 强调文字颜色 6 13 7" xfId="2976"/>
    <cellStyle name="60% - 强调文字颜色 5 13 6 2" xfId="2977"/>
    <cellStyle name="40% - 强调文字颜色 3 9 3" xfId="2978"/>
    <cellStyle name="40% - 强调文字颜色 4 12 6 2" xfId="2979"/>
    <cellStyle name="20% - 强调文字颜色 3 11 7" xfId="2980"/>
    <cellStyle name="40% - 强调文字颜色 4 12 7" xfId="2981"/>
    <cellStyle name="20% - 强调文字颜色 3 11 8" xfId="2982"/>
    <cellStyle name="强调文字颜色 4 2 3 2 2" xfId="2983"/>
    <cellStyle name="40% - 强调文字颜色 4 12 8" xfId="2984"/>
    <cellStyle name="20% - 强调文字颜色 3 11 9" xfId="2985"/>
    <cellStyle name="40% - 强调文字颜色 4 12 9" xfId="2986"/>
    <cellStyle name="20% - 强调文字颜色 3 12 10" xfId="2987"/>
    <cellStyle name="注释 18 2 2 2" xfId="2988"/>
    <cellStyle name="20% - 强调文字颜色 3 12 11" xfId="2989"/>
    <cellStyle name="40% - 强调文字颜色 3 3 2 2" xfId="2990"/>
    <cellStyle name="20% - 强调文字颜色 3 12 12" xfId="2991"/>
    <cellStyle name="20% - 强调文字颜色 5 8 2 2 2 2" xfId="2992"/>
    <cellStyle name="强调文字颜色 6 13 3 2 2" xfId="2993"/>
    <cellStyle name="40% - 强调文字颜色 2 9 4 2 2" xfId="2994"/>
    <cellStyle name="40% - 强调文字颜色 3 3 2 3" xfId="2995"/>
    <cellStyle name="20% - 强调文字颜色 3 12 2 2" xfId="2996"/>
    <cellStyle name="差_账龄分析2 3 3" xfId="2997"/>
    <cellStyle name="20% - 强调文字颜色 3 12 2 2 2" xfId="2998"/>
    <cellStyle name="20% - 强调文字颜色 3 12 2 2 2 2" xfId="2999"/>
    <cellStyle name="20% - 强调文字颜色 5 10 3 2 3" xfId="3000"/>
    <cellStyle name="输出 3 2 3 2" xfId="3001"/>
    <cellStyle name="20% - 强调文字颜色 6 2 11" xfId="3002"/>
    <cellStyle name="20% - 强调文字颜色 3 12 2 2 3" xfId="3003"/>
    <cellStyle name="输出 3 2 4" xfId="3004"/>
    <cellStyle name="20% - 强调文字颜色 3 5 10" xfId="3005"/>
    <cellStyle name="20% - 强调文字颜色 3 12 2 3" xfId="3006"/>
    <cellStyle name="计算 11 3 3" xfId="3007"/>
    <cellStyle name="40% - 强调文字颜色 3 2 3 3 2" xfId="3008"/>
    <cellStyle name="20% - 强调文字颜色 3 12 2 4" xfId="3009"/>
    <cellStyle name="40% - 强调文字颜色 4 13 2 4" xfId="3010"/>
    <cellStyle name="20% - 强调文字颜色 5 11 3 2" xfId="3011"/>
    <cellStyle name="20% - 强调文字颜色 3 12 2 5" xfId="3012"/>
    <cellStyle name="40% - 强调文字颜色 4 13 2 5" xfId="3013"/>
    <cellStyle name="20% - 强调文字颜色 5 11 3 3" xfId="3014"/>
    <cellStyle name="20% - 强调文字颜色 3 12 3" xfId="3015"/>
    <cellStyle name="40% - 强调文字颜色 3 10 12" xfId="3016"/>
    <cellStyle name="20% - 强调文字颜色 3 12 3 2 2" xfId="3017"/>
    <cellStyle name="20% - 强调文字颜色 3 12 3 2 2 2" xfId="3018"/>
    <cellStyle name="20% - 强调文字颜色 5 11 3 2 3" xfId="3019"/>
    <cellStyle name="20% - 强调文字颜色 3 12 3 2 3" xfId="3020"/>
    <cellStyle name="40% - 强调文字颜色 4 6 3 3" xfId="3021"/>
    <cellStyle name="40% - 强调文字颜色 2 10 10" xfId="3022"/>
    <cellStyle name="20% - 强调文字颜色 3 12 3 3 2" xfId="3023"/>
    <cellStyle name="20% - 强调文字颜色 3 12 3 4" xfId="3024"/>
    <cellStyle name="40% - 强调文字颜色 4 13 3 4" xfId="3025"/>
    <cellStyle name="20% - 强调文字颜色 5 11 4 2" xfId="3026"/>
    <cellStyle name="Header2 3 2 7 2 2" xfId="3027"/>
    <cellStyle name="20% - 强调文字颜色 3 12 4" xfId="3028"/>
    <cellStyle name="20% - 强调文字颜色 3 12 4 2 2" xfId="3029"/>
    <cellStyle name="20% - 强调文字颜色 3 12 4 3" xfId="3030"/>
    <cellStyle name="20% - 强调文字颜色 5 4 2 2 2 2" xfId="3031"/>
    <cellStyle name="20% - 强调文字颜色 3 12 5" xfId="3032"/>
    <cellStyle name="20% - 强调文字颜色 3 12 5 2" xfId="3033"/>
    <cellStyle name="60% - 强调文字颜色 3 9 6 2" xfId="3034"/>
    <cellStyle name="20% - 强调文字颜色 3 12 6" xfId="3035"/>
    <cellStyle name="20% - 强调文字颜色 3 12 6 2" xfId="3036"/>
    <cellStyle name="20% - 强调文字颜色 3 12 7" xfId="3037"/>
    <cellStyle name="20% - 强调文字颜色 3 12 8" xfId="3038"/>
    <cellStyle name="20% - 强调文字颜色 3 12 9" xfId="3039"/>
    <cellStyle name="强调文字颜色 1 2 2 2 2 3" xfId="3040"/>
    <cellStyle name="20% - 强调文字颜色 3 13 10" xfId="3041"/>
    <cellStyle name="20% - 强调文字颜色 3 13 2" xfId="3042"/>
    <cellStyle name="20% - 强调文字颜色 3 13 2 2" xfId="3043"/>
    <cellStyle name="好_账龄02." xfId="3044"/>
    <cellStyle name="20% - 强调文字颜色 3 13 2 2 2" xfId="3045"/>
    <cellStyle name="好_账龄02. 2" xfId="3046"/>
    <cellStyle name="20% - 强调文字颜色 3 13 2 2 2 2" xfId="3047"/>
    <cellStyle name="20% - 强调文字颜色 4 8 7" xfId="3048"/>
    <cellStyle name="20% - 强调文字颜色 3 13 2 2 3" xfId="3049"/>
    <cellStyle name="20% - 强调文字颜色 3 13 2 3" xfId="3050"/>
    <cellStyle name="计算 12 3 3" xfId="3051"/>
    <cellStyle name="40% - 强调文字颜色 3 2 4 3 2" xfId="3052"/>
    <cellStyle name="20% - 强调文字颜色 3 13 2 4" xfId="3053"/>
    <cellStyle name="20% - 强调文字颜色 5 12 3 2" xfId="3054"/>
    <cellStyle name="20% - 强调文字颜色 3 13 2 5" xfId="3055"/>
    <cellStyle name="20% - 强调文字颜色 5 12 3 3" xfId="3056"/>
    <cellStyle name="20% - 强调文字颜色 3 13 3" xfId="3057"/>
    <cellStyle name="20% - 强调文字颜色 3 13 3 2" xfId="3058"/>
    <cellStyle name="60% - 强调文字颜色 1 6 12" xfId="3059"/>
    <cellStyle name="20% - 强调文字颜色 3 13 3 2 2" xfId="3060"/>
    <cellStyle name="20% - 强调文字颜色 3 13 3 2 2 2" xfId="3061"/>
    <cellStyle name="常规 2 7 3 2 2" xfId="3062"/>
    <cellStyle name="20% - 强调文字颜色 3 13 3 2 3" xfId="3063"/>
    <cellStyle name="40% - 强调文字颜色 5 6 3 3" xfId="3064"/>
    <cellStyle name="40% - 强调文字颜色 3 10 10" xfId="3065"/>
    <cellStyle name="20% - 强调文字颜色 3 13 3 3" xfId="3066"/>
    <cellStyle name="20% - 强调文字颜色 3 13 3 3 2" xfId="3067"/>
    <cellStyle name="20% - 强调文字颜色 3 13 3 4" xfId="3068"/>
    <cellStyle name="注释 2 2 5" xfId="3069"/>
    <cellStyle name="20% - 强调文字颜色 5 12 4 2" xfId="3070"/>
    <cellStyle name="Header2 3 2 7 3 2" xfId="3071"/>
    <cellStyle name="20% - 强调文字颜色 3 13 4" xfId="3072"/>
    <cellStyle name="20% - 强调文字颜色 3 13 4 2" xfId="3073"/>
    <cellStyle name="20% - 强调文字颜色 5 6 11" xfId="3074"/>
    <cellStyle name="20% - 强调文字颜色 3 13 4 2 2" xfId="3075"/>
    <cellStyle name="20% - 强调文字颜色 3 13 4 3" xfId="3076"/>
    <cellStyle name="20% - 强调文字颜色 5 6 12" xfId="3077"/>
    <cellStyle name="好_账龄07 2 2 2 2" xfId="3078"/>
    <cellStyle name="20% - 强调文字颜色 3 13 5" xfId="3079"/>
    <cellStyle name="千位分隔 2 4 12" xfId="3080"/>
    <cellStyle name="20% - 强调文字颜色 3 13 5 2" xfId="3081"/>
    <cellStyle name="20% - 强调文字颜色 3 13 6" xfId="3082"/>
    <cellStyle name="标题 4 4 2 2 3" xfId="3083"/>
    <cellStyle name="40% - 强调文字颜色 2 9 2 2" xfId="3084"/>
    <cellStyle name="20% - 强调文字颜色 3 13 6 2" xfId="3085"/>
    <cellStyle name="60% - 强调文字颜色 6 9 8" xfId="3086"/>
    <cellStyle name="40% - 强调文字颜色 2 9 2 2 2" xfId="3087"/>
    <cellStyle name="20% - 强调文字颜色 3 13 7" xfId="3088"/>
    <cellStyle name="40% - 强调文字颜色 2 9 2 3" xfId="3089"/>
    <cellStyle name="20% - 强调文字颜色 3 13 7 2" xfId="3090"/>
    <cellStyle name="40% - 强调文字颜色 2 9 2 3 2" xfId="3091"/>
    <cellStyle name="20% - 强调文字颜色 3 13 8" xfId="3092"/>
    <cellStyle name="40% - 强调文字颜色 2 9 2 4" xfId="3093"/>
    <cellStyle name="20% - 强调文字颜色 3 13 9" xfId="3094"/>
    <cellStyle name="40% - 强调文字颜色 2 9 2 5" xfId="3095"/>
    <cellStyle name="注释 21 11" xfId="3096"/>
    <cellStyle name="注释 16 11" xfId="3097"/>
    <cellStyle name="60% - 强调文字颜色 2 17" xfId="3098"/>
    <cellStyle name="20% - 强调文字颜色 3 14 2" xfId="3099"/>
    <cellStyle name="40% - 强调文字颜色 1 16" xfId="3100"/>
    <cellStyle name="20% - 强调文字颜色 3 14 2 2" xfId="3101"/>
    <cellStyle name="40% - 强调文字颜色 1 16 2" xfId="3102"/>
    <cellStyle name="20% - 强调文字颜色 3 14 2 3" xfId="3103"/>
    <cellStyle name="注释 21 12" xfId="3104"/>
    <cellStyle name="注释 16 12" xfId="3105"/>
    <cellStyle name="好 4 3 2 2" xfId="3106"/>
    <cellStyle name="20% - 强调文字颜色 3 14 3" xfId="3107"/>
    <cellStyle name="40% - 强调文字颜色 1 17" xfId="3108"/>
    <cellStyle name="20% - 强调文字颜色 3 14 3 2" xfId="3109"/>
    <cellStyle name="20% - 强调文字颜色 3 14 4" xfId="3110"/>
    <cellStyle name="20% - 强调文字颜色 3 15" xfId="3111"/>
    <cellStyle name="40% - 强调文字颜色 2 3 4 2" xfId="3112"/>
    <cellStyle name="20% - 强调文字颜色 3 15 2" xfId="3113"/>
    <cellStyle name="40% - 强调文字颜色 2 3 4 2 2" xfId="3114"/>
    <cellStyle name="20% - 强调文字颜色 3 15 2 2" xfId="3115"/>
    <cellStyle name="20% - 强调文字颜色 3 15 3" xfId="3116"/>
    <cellStyle name="标题 1 5 4 2" xfId="3117"/>
    <cellStyle name="20% - 强调文字颜色 3 16" xfId="3118"/>
    <cellStyle name="40% - 强调文字颜色 2 3 4 3" xfId="3119"/>
    <cellStyle name="20% - 强调文字颜色 3 16 2" xfId="3120"/>
    <cellStyle name="20% - 强调文字颜色 4 6 2 4" xfId="3121"/>
    <cellStyle name="20% - 强调文字颜色 3 17" xfId="3122"/>
    <cellStyle name="20% - 强调文字颜色 3 2" xfId="3123"/>
    <cellStyle name="输入 5 2" xfId="3124"/>
    <cellStyle name="20% - 强调文字颜色 3 2 10" xfId="3125"/>
    <cellStyle name="输入 5 3" xfId="3126"/>
    <cellStyle name="20% - 强调文字颜色 3 2 11" xfId="3127"/>
    <cellStyle name="输入 5 4" xfId="3128"/>
    <cellStyle name="20% - 强调文字颜色 3 2 12" xfId="3129"/>
    <cellStyle name="差 11 3 3" xfId="3130"/>
    <cellStyle name="60% - 强调文字颜色 6 10 11" xfId="3131"/>
    <cellStyle name="20% - 强调文字颜色 3 2 2 2" xfId="3132"/>
    <cellStyle name="20% - 强调文字颜色 3 2 2 2 2" xfId="3133"/>
    <cellStyle name="20% - 强调文字颜色 3 2 2 2 2 2" xfId="3134"/>
    <cellStyle name="强调文字颜色 5 2 4" xfId="3135"/>
    <cellStyle name="20% - 强调文字颜色 3 2 2 2 2 2 2" xfId="3136"/>
    <cellStyle name="强调文字颜色 5 3 4" xfId="3137"/>
    <cellStyle name="20% - 强调文字颜色 3 2 2 2 2 3 2" xfId="3138"/>
    <cellStyle name="20% - 强调文字颜色 3 2 2 2 3" xfId="3139"/>
    <cellStyle name="适中 2 2 4" xfId="3140"/>
    <cellStyle name="适中 10 7" xfId="3141"/>
    <cellStyle name="20% - 强调文字颜色 3 2 2 2 3 2" xfId="3142"/>
    <cellStyle name="20% - 强调文字颜色 3 2 2 2 4" xfId="3143"/>
    <cellStyle name="40% - 强调文字颜色 2 5 2 2" xfId="3144"/>
    <cellStyle name="60% - 强调文字颜色 6 10 12" xfId="3145"/>
    <cellStyle name="20% - 强调文字颜色 3 2 2 3" xfId="3146"/>
    <cellStyle name="20% - 强调文字颜色 3 2 2 3 2" xfId="3147"/>
    <cellStyle name="20% - 强调文字颜色 3 2 2 3 2 2" xfId="3148"/>
    <cellStyle name="20% - 强调文字颜色 3 2 2 3 3" xfId="3149"/>
    <cellStyle name="20% - 强调文字颜色 3 2 2 4" xfId="3150"/>
    <cellStyle name="20% - 强调文字颜色 3 2 2 4 2" xfId="3151"/>
    <cellStyle name="20% - 强调文字颜色 3 2 8" xfId="3152"/>
    <cellStyle name="20% - 强调文字颜色 3 2 2 5" xfId="3153"/>
    <cellStyle name="20% - 强调文字颜色 3 2 2 6" xfId="3154"/>
    <cellStyle name="20% - 强调文字颜色 3 2 3" xfId="3155"/>
    <cellStyle name="20% - 强调文字颜色 3 2 3 2" xfId="3156"/>
    <cellStyle name="20% - 强调文字颜色 3 2 3 2 2" xfId="3157"/>
    <cellStyle name="解释性文本 10 2" xfId="3158"/>
    <cellStyle name="20% - 强调文字颜色 3 2 3 2 3" xfId="3159"/>
    <cellStyle name="20% - 强调文字颜色 3 2 3 3" xfId="3160"/>
    <cellStyle name="20% - 强调文字颜色 3 2 3 3 2" xfId="3161"/>
    <cellStyle name="20% - 强调文字颜色 3 2 3 4" xfId="3162"/>
    <cellStyle name="20% - 强调文字颜色 3 2 3 5" xfId="3163"/>
    <cellStyle name="输入 5 12" xfId="3164"/>
    <cellStyle name="常规 7 2 2 2 3" xfId="3165"/>
    <cellStyle name="20% - 强调文字颜色 3 2 4 2" xfId="3166"/>
    <cellStyle name="20% - 强调文字颜色 3 2 4 2 2" xfId="3167"/>
    <cellStyle name="20% - 强调文字颜色 3 2 4 2 2 2" xfId="3168"/>
    <cellStyle name="20% - 强调文字颜色 3 2 4 2 3" xfId="3169"/>
    <cellStyle name="输入 5 13" xfId="3170"/>
    <cellStyle name="常规 7 2 2 2 4" xfId="3171"/>
    <cellStyle name="20% - 强调文字颜色 3 2 4 3" xfId="3172"/>
    <cellStyle name="20% - 强调文字颜色 3 2 4 3 2" xfId="3173"/>
    <cellStyle name="40% - 强调文字颜色 1 4 12" xfId="3174"/>
    <cellStyle name="输入 5 14" xfId="3175"/>
    <cellStyle name="常规 7 2 2 2 5" xfId="3176"/>
    <cellStyle name="20% - 强调文字颜色 3 2 4 4" xfId="3177"/>
    <cellStyle name="输入 5 15" xfId="3178"/>
    <cellStyle name="警告文本 2 2 2 2" xfId="3179"/>
    <cellStyle name="常规 7 2 2 2 6" xfId="3180"/>
    <cellStyle name="20% - 强调文字颜色 3 2 4 5" xfId="3181"/>
    <cellStyle name="20% - 强调文字颜色 3 2 5" xfId="3182"/>
    <cellStyle name="常规 7 2 2 3 3" xfId="3183"/>
    <cellStyle name="20% - 强调文字颜色 3 2 5 2" xfId="3184"/>
    <cellStyle name="20% - 强调文字颜色 3 2 5 2 2" xfId="3185"/>
    <cellStyle name="常规 7 2 2 3 4" xfId="3186"/>
    <cellStyle name="20% - 强调文字颜色 3 2 5 3" xfId="3187"/>
    <cellStyle name="20% - 强调文字颜色 3 2 6" xfId="3188"/>
    <cellStyle name="20% - 强调文字颜色 3 2 6 2" xfId="3189"/>
    <cellStyle name="20% - 强调文字颜色 3 2 7" xfId="3190"/>
    <cellStyle name="60% - 强调文字颜色 6 11 11" xfId="3191"/>
    <cellStyle name="20% - 强调文字颜色 3 2 7 2" xfId="3192"/>
    <cellStyle name="20% - 强调文字颜色 3 2 9" xfId="3193"/>
    <cellStyle name="强调文字颜色 2 2 4 2" xfId="3194"/>
    <cellStyle name="20% - 强调文字颜色 3 3" xfId="3195"/>
    <cellStyle name="20% - 强调文字颜色 3 3 10" xfId="3196"/>
    <cellStyle name="输入 5 6 2" xfId="3197"/>
    <cellStyle name="借出原因 5 2 2" xfId="3198"/>
    <cellStyle name="20% - 强调文字颜色 3 3 11" xfId="3199"/>
    <cellStyle name="输入 5 6 3" xfId="3200"/>
    <cellStyle name="20% - 强调文字颜色 3 3 12" xfId="3201"/>
    <cellStyle name="20% - 强调文字颜色 5 2 2 2 2 2 2" xfId="3202"/>
    <cellStyle name="40% - 强调文字颜色 2 7 2 2 2" xfId="3203"/>
    <cellStyle name="强调文字颜色 2 2 4 2 2" xfId="3204"/>
    <cellStyle name="20% - 强调文字颜色 3 3 2" xfId="3205"/>
    <cellStyle name="常规 3 2 6 2" xfId="3206"/>
    <cellStyle name="20% - 强调文字颜色 6 8 11" xfId="3207"/>
    <cellStyle name="差 12 3 3" xfId="3208"/>
    <cellStyle name="20% - 强调文字颜色 3 3 2 2" xfId="3209"/>
    <cellStyle name="Header2 3 14" xfId="3210"/>
    <cellStyle name="20% - 强调文字颜色 4 10 5" xfId="3211"/>
    <cellStyle name="40% - 强调文字颜色 5 11 5" xfId="3212"/>
    <cellStyle name="20% - 强调文字颜色 4 13 11" xfId="3213"/>
    <cellStyle name="20% - 强调文字颜色 3 3 2 3" xfId="3214"/>
    <cellStyle name="Header2 3 15" xfId="3215"/>
    <cellStyle name="20% - 强调文字颜色 4 10 6" xfId="3216"/>
    <cellStyle name="40% - 强调文字颜色 5 11 6" xfId="3217"/>
    <cellStyle name="20% - 强调文字颜色 4 13 12" xfId="3218"/>
    <cellStyle name="20% - 强调文字颜色 3 3 2 3 2" xfId="3219"/>
    <cellStyle name="Header2 3 15 2" xfId="3220"/>
    <cellStyle name="20% - 强调文字颜色 4 10 6 2" xfId="3221"/>
    <cellStyle name="20% - 强调文字颜色 3 3 2 4" xfId="3222"/>
    <cellStyle name="Header2 3 16" xfId="3223"/>
    <cellStyle name="20% - 强调文字颜色 4 10 7" xfId="3224"/>
    <cellStyle name="40% - 强调文字颜色 5 11 7" xfId="3225"/>
    <cellStyle name="20% - 强调文字颜色 4 13 13" xfId="3226"/>
    <cellStyle name="20% - 强调文字颜色 3 3 2 5" xfId="3227"/>
    <cellStyle name="20% - 强调文字颜色 4 10 8" xfId="3228"/>
    <cellStyle name="输出 11 5 4 2" xfId="3229"/>
    <cellStyle name="40% - 强调文字颜色 1 10 3 2" xfId="3230"/>
    <cellStyle name="20% - 强调文字颜色 3 3 3" xfId="3231"/>
    <cellStyle name="常规 3 2 6 3" xfId="3232"/>
    <cellStyle name="常规 2 15 2" xfId="3233"/>
    <cellStyle name="20% - 强调文字颜色 6 8 12" xfId="3234"/>
    <cellStyle name="20% - 强调文字颜色 3 3 3 2" xfId="3235"/>
    <cellStyle name="20% - 强调文字颜色 4 11 5" xfId="3236"/>
    <cellStyle name="差 5 9" xfId="3237"/>
    <cellStyle name="20% - 强调文字颜色 6 6 2 2 3" xfId="3238"/>
    <cellStyle name="20% - 强调文字颜色 3 3 3 2 2" xfId="3239"/>
    <cellStyle name="强调文字颜色 5 10 7" xfId="3240"/>
    <cellStyle name="Header2 2 5" xfId="3241"/>
    <cellStyle name="20% - 强调文字颜色 4 11 5 2" xfId="3242"/>
    <cellStyle name="20% - 强调文字颜色 3 3 3 2 2 2" xfId="3243"/>
    <cellStyle name="20% - 强调文字颜色 3 3 3 2 3" xfId="3244"/>
    <cellStyle name="20% - 强调文字颜色 3 3 3 3" xfId="3245"/>
    <cellStyle name="20% - 强调文字颜色 4 11 6" xfId="3246"/>
    <cellStyle name="20% - 强调文字颜色 3 3 3 3 2" xfId="3247"/>
    <cellStyle name="强调文字颜色 5 11 7" xfId="3248"/>
    <cellStyle name="Header2 3 5" xfId="3249"/>
    <cellStyle name="20% - 强调文字颜色 4 11 6 2" xfId="3250"/>
    <cellStyle name="好 9 2 2 2 2" xfId="3251"/>
    <cellStyle name="20% - 强调文字颜色 3 3 3 4" xfId="3252"/>
    <cellStyle name="20% - 强调文字颜色 4 11 7" xfId="3253"/>
    <cellStyle name="20% - 强调文字颜色 3 3 4" xfId="3254"/>
    <cellStyle name="强调文字颜色 3 8 3" xfId="3255"/>
    <cellStyle name="20% - 强调文字颜色 4 2 2 2" xfId="3256"/>
    <cellStyle name="20% - 强调文字颜色 3 3 4 2" xfId="3257"/>
    <cellStyle name="20% - 强调文字颜色 4 12 5" xfId="3258"/>
    <cellStyle name="强调文字颜色 3 8 3 2" xfId="3259"/>
    <cellStyle name="20% - 强调文字颜色 4 2 2 2 2" xfId="3260"/>
    <cellStyle name="20% - 强调文字颜色 3 3 4 2 2" xfId="3261"/>
    <cellStyle name="20% - 强调文字颜色 4 12 5 2" xfId="3262"/>
    <cellStyle name="强调文字颜色 3 8 3 2 2" xfId="3263"/>
    <cellStyle name="20% - 强调文字颜色 4 2 2 2 2 2" xfId="3264"/>
    <cellStyle name="20% - 强调文字颜色 3 3 4 3" xfId="3265"/>
    <cellStyle name="20% - 强调文字颜色 4 12 6" xfId="3266"/>
    <cellStyle name="强调文字颜色 3 8 3 3" xfId="3267"/>
    <cellStyle name="20% - 强调文字颜色 4 2 2 2 3" xfId="3268"/>
    <cellStyle name="20% - 强调文字颜色 3 3 5" xfId="3269"/>
    <cellStyle name="强调文字颜色 3 8 4" xfId="3270"/>
    <cellStyle name="20% - 强调文字颜色 4 2 2 3" xfId="3271"/>
    <cellStyle name="20% - 强调文字颜色 3 3 5 2" xfId="3272"/>
    <cellStyle name="20% - 强调文字颜色 4 13 5" xfId="3273"/>
    <cellStyle name="强调文字颜色 3 8 4 2" xfId="3274"/>
    <cellStyle name="20% - 强调文字颜色 4 2 2 3 2" xfId="3275"/>
    <cellStyle name="20% - 强调文字颜色 3 3 6" xfId="3276"/>
    <cellStyle name="强调文字颜色 3 8 5" xfId="3277"/>
    <cellStyle name="20% - 强调文字颜色 4 2 2 4" xfId="3278"/>
    <cellStyle name="20% - 强调文字颜色 3 3 6 2" xfId="3279"/>
    <cellStyle name="强调文字颜色 3 8 5 2" xfId="3280"/>
    <cellStyle name="20% - 强调文字颜色 4 2 2 4 2" xfId="3281"/>
    <cellStyle name="20% - 强调文字颜色 3 3 7" xfId="3282"/>
    <cellStyle name="强调文字颜色 3 8 6" xfId="3283"/>
    <cellStyle name="20% - 强调文字颜色 4 2 2 5" xfId="3284"/>
    <cellStyle name="20% - 强调文字颜色 3 3 8" xfId="3285"/>
    <cellStyle name="强调文字颜色 3 8 7" xfId="3286"/>
    <cellStyle name="20% - 强调文字颜色 4 2 2 6" xfId="3287"/>
    <cellStyle name="适中 14 2 2" xfId="3288"/>
    <cellStyle name="60% - 强调文字颜色 1 2" xfId="3289"/>
    <cellStyle name="20% - 强调文字颜色 3 3 9" xfId="3290"/>
    <cellStyle name="强调文字颜色 2 2 4 3" xfId="3291"/>
    <cellStyle name="20% - 强调文字颜色 3 4" xfId="3292"/>
    <cellStyle name="40% - 强调文字颜色 1 8 2 2" xfId="3293"/>
    <cellStyle name="20% - 强调文字颜色 3 4 10" xfId="3294"/>
    <cellStyle name="20% - 强调文字颜色 3 4 2" xfId="3295"/>
    <cellStyle name="20% - 强调文字颜色 5 11 2 4" xfId="3296"/>
    <cellStyle name="计算 11 2 6" xfId="3297"/>
    <cellStyle name="百分比 2 10 3" xfId="3298"/>
    <cellStyle name="40% - 强调文字颜色 1 8 2 2 2" xfId="3299"/>
    <cellStyle name="差 13 3 3" xfId="3300"/>
    <cellStyle name="20% - 强调文字颜色 3 4 2 2" xfId="3301"/>
    <cellStyle name="40% - 强调文字颜色 1 8 2 2 2 2" xfId="3302"/>
    <cellStyle name="20% - 强调文字颜色 3 4 2 2 2" xfId="3303"/>
    <cellStyle name="20% - 强调文字颜色 3 4 2 2 2 2" xfId="3304"/>
    <cellStyle name="40% - 强调文字颜色 3 4 3 3" xfId="3305"/>
    <cellStyle name="20% - 强调文字颜色 3 4 2 2 3" xfId="3306"/>
    <cellStyle name="20% - 强调文字颜色 3 4 2 3" xfId="3307"/>
    <cellStyle name="20% - 强调文字颜色 3 4 2 3 2" xfId="3308"/>
    <cellStyle name="20% - 强调文字颜色 3 4 2 4" xfId="3309"/>
    <cellStyle name="40% - 强调文字颜色 2 2 2 3 2" xfId="3310"/>
    <cellStyle name="输出 2 6 5" xfId="3311"/>
    <cellStyle name="常规 2 5 3" xfId="3312"/>
    <cellStyle name="40% - 强调文字颜色 2 8 3 2 2 2" xfId="3313"/>
    <cellStyle name="20% - 强调文字颜色 3 4 2 5" xfId="3314"/>
    <cellStyle name="计算 11 10" xfId="3315"/>
    <cellStyle name="40% - 强调文字颜色 1 11 3 2" xfId="3316"/>
    <cellStyle name="40% - 强调文字颜色 2 2 2 3 3" xfId="3317"/>
    <cellStyle name="20% - 强调文字颜色 3 4 3" xfId="3318"/>
    <cellStyle name="20% - 强调文字颜色 5 11 2 5" xfId="3319"/>
    <cellStyle name="百分比 2 10 4" xfId="3320"/>
    <cellStyle name="40% - 强调文字颜色 1 8 2 2 3" xfId="3321"/>
    <cellStyle name="20% - 强调文字颜色 3 4 3 2" xfId="3322"/>
    <cellStyle name="输出 2 7 3" xfId="3323"/>
    <cellStyle name="20% - 强调文字颜色 6 6 3 2 3" xfId="3324"/>
    <cellStyle name="输出 2 2 4" xfId="3325"/>
    <cellStyle name="20% - 强调文字颜色 3 4 3 2 2 2" xfId="3326"/>
    <cellStyle name="20% - 强调文字颜色 3 4 3 3" xfId="3327"/>
    <cellStyle name="20% - 强调文字颜色 3 4 3 3 2" xfId="3328"/>
    <cellStyle name="20% - 强调文字颜色 3 4 3 4" xfId="3329"/>
    <cellStyle name="40% - 强调文字颜色 2 2 2 4 2" xfId="3330"/>
    <cellStyle name="20% - 强调文字颜色 3 4 4" xfId="3331"/>
    <cellStyle name="强调文字颜色 3 9 3" xfId="3332"/>
    <cellStyle name="20% - 强调文字颜色 4 2 3 2" xfId="3333"/>
    <cellStyle name="20% - 强调文字颜色 3 4 4 2" xfId="3334"/>
    <cellStyle name="强调文字颜色 3 9 3 2" xfId="3335"/>
    <cellStyle name="20% - 强调文字颜色 4 2 3 2 2" xfId="3336"/>
    <cellStyle name="20% - 强调文字颜色 3 4 4 3" xfId="3337"/>
    <cellStyle name="强调文字颜色 3 9 3 3" xfId="3338"/>
    <cellStyle name="20% - 强调文字颜色 4 2 3 2 3" xfId="3339"/>
    <cellStyle name="20% - 强调文字颜色 3 4 5" xfId="3340"/>
    <cellStyle name="强调文字颜色 3 9 4" xfId="3341"/>
    <cellStyle name="20% - 强调文字颜色 4 2 3 3" xfId="3342"/>
    <cellStyle name="20% - 强调文字颜色 3 4 5 2" xfId="3343"/>
    <cellStyle name="强调文字颜色 3 9 4 2" xfId="3344"/>
    <cellStyle name="20% - 强调文字颜色 4 2 3 3 2" xfId="3345"/>
    <cellStyle name="20% - 强调文字颜色 3 4 6" xfId="3346"/>
    <cellStyle name="强调文字颜色 3 9 5" xfId="3347"/>
    <cellStyle name="20% - 强调文字颜色 4 2 3 4" xfId="3348"/>
    <cellStyle name="20% - 强调文字颜色 3 4 6 2" xfId="3349"/>
    <cellStyle name="20% - 强调文字颜色 3 4 7" xfId="3350"/>
    <cellStyle name="强调文字颜色 3 9 6" xfId="3351"/>
    <cellStyle name="20% - 强调文字颜色 4 2 3 5" xfId="3352"/>
    <cellStyle name="20% - 强调文字颜色 3 4 8" xfId="3353"/>
    <cellStyle name="60% - 强调文字颜色 2 2" xfId="3354"/>
    <cellStyle name="20% - 强调文字颜色 3 4 9" xfId="3355"/>
    <cellStyle name="输出 3 2 5" xfId="3356"/>
    <cellStyle name="20% - 强调文字颜色 3 5 11" xfId="3357"/>
    <cellStyle name="输出 3 2 6" xfId="3358"/>
    <cellStyle name="20% - 强调文字颜色 3 5 12" xfId="3359"/>
    <cellStyle name="20% - 强调文字颜色 3 5 2" xfId="3360"/>
    <cellStyle name="20% - 强调文字颜色 5 11 3 4" xfId="3361"/>
    <cellStyle name="40% - 强调文字颜色 1 8 2 3 2" xfId="3362"/>
    <cellStyle name="20% - 强调文字颜色 3 5 2 2" xfId="3363"/>
    <cellStyle name="20% - 强调文字颜色 3 5 2 2 2" xfId="3364"/>
    <cellStyle name="20% - 强调文字颜色 3 5 2 2 2 2" xfId="3365"/>
    <cellStyle name="20% - 强调文字颜色 3 6 7" xfId="3366"/>
    <cellStyle name="20% - 强调文字颜色 3 5 2 2 3" xfId="3367"/>
    <cellStyle name="20% - 强调文字颜色 3 5 2 3" xfId="3368"/>
    <cellStyle name="常规 10 7" xfId="3369"/>
    <cellStyle name="20% - 强调文字颜色 3 5 2 3 2" xfId="3370"/>
    <cellStyle name="20% - 强调文字颜色 3 5 2 4" xfId="3371"/>
    <cellStyle name="40% - 强调文字颜色 2 2 3 3 2" xfId="3372"/>
    <cellStyle name="20% - 强调文字颜色 3 5 2 5" xfId="3373"/>
    <cellStyle name="40% - 强调文字颜色 4 6 12" xfId="3374"/>
    <cellStyle name="40% - 强调文字颜色 1 12 3 2" xfId="3375"/>
    <cellStyle name="20% - 强调文字颜色 3 5 3" xfId="3376"/>
    <cellStyle name="20% - 强调文字颜色 3 5 3 2" xfId="3377"/>
    <cellStyle name="20% - 强调文字颜色 3 5 3 2 2" xfId="3378"/>
    <cellStyle name="20% - 强调文字颜色 3 5 3 2 2 2" xfId="3379"/>
    <cellStyle name="20% - 强调文字颜色 3 5 3 2 3" xfId="3380"/>
    <cellStyle name="20% - 强调文字颜色 3 5 3 3" xfId="3381"/>
    <cellStyle name="常规 3 6 2" xfId="3382"/>
    <cellStyle name="20% - 强调文字颜色 3 6 10" xfId="3383"/>
    <cellStyle name="20% - 强调文字颜色 3 5 3 3 2" xfId="3384"/>
    <cellStyle name="20% - 强调文字颜色 3 5 3 4" xfId="3385"/>
    <cellStyle name="常规 3 6 3" xfId="3386"/>
    <cellStyle name="20% - 强调文字颜色 3 6 11" xfId="3387"/>
    <cellStyle name="20% - 强调文字颜色 3 5 4" xfId="3388"/>
    <cellStyle name="常规 7 3 2 2 3" xfId="3389"/>
    <cellStyle name="20% - 强调文字颜色 4 2 4 2" xfId="3390"/>
    <cellStyle name="20% - 强调文字颜色 3 5 4 2" xfId="3391"/>
    <cellStyle name="20% - 强调文字颜色 4 2 4 2 2" xfId="3392"/>
    <cellStyle name="20% - 强调文字颜色 3 5 4 3" xfId="3393"/>
    <cellStyle name="注释 10 7 2" xfId="3394"/>
    <cellStyle name="20% - 强调文字颜色 4 2 4 2 3" xfId="3395"/>
    <cellStyle name="20% - 强调文字颜色 3 5 5" xfId="3396"/>
    <cellStyle name="常规 7 3 2 2 4" xfId="3397"/>
    <cellStyle name="20% - 强调文字颜色 4 2 4 3" xfId="3398"/>
    <cellStyle name="20% - 强调文字颜色 3 5 5 2" xfId="3399"/>
    <cellStyle name="强调文字颜色 2 10 8" xfId="3400"/>
    <cellStyle name="20% - 强调文字颜色 4 2 4 3 2" xfId="3401"/>
    <cellStyle name="20% - 强调文字颜色 3 5 6" xfId="3402"/>
    <cellStyle name="常规 7 3 2 2 5" xfId="3403"/>
    <cellStyle name="20% - 强调文字颜色 4 2 4 4" xfId="3404"/>
    <cellStyle name="20% - 强调文字颜色 3 5 6 2" xfId="3405"/>
    <cellStyle name="20% - 强调文字颜色 3 5 7" xfId="3406"/>
    <cellStyle name="警告文本 3 2 2 2" xfId="3407"/>
    <cellStyle name="常规 7 3 2 2 6" xfId="3408"/>
    <cellStyle name="20% - 强调文字颜色 4 2 4 5" xfId="3409"/>
    <cellStyle name="20% - 强调文字颜色 3 5 8" xfId="3410"/>
    <cellStyle name="60% - 强调文字颜色 3 2" xfId="3411"/>
    <cellStyle name="20% - 强调文字颜色 3 5 9" xfId="3412"/>
    <cellStyle name="20% - 强调文字颜色 3 6" xfId="3413"/>
    <cellStyle name="注释 8 3 3 2" xfId="3414"/>
    <cellStyle name="20% - 强调文字颜色 6 2 2 3 2 2" xfId="3415"/>
    <cellStyle name="40% - 强调文字颜色 1 8 2 4" xfId="3416"/>
    <cellStyle name="常规 3 6 4" xfId="3417"/>
    <cellStyle name="20% - 强调文字颜色 3 6 12" xfId="3418"/>
    <cellStyle name="40% - 强调文字颜色 1 12 4 2" xfId="3419"/>
    <cellStyle name="20% - 强调文字颜色 3 6 2" xfId="3420"/>
    <cellStyle name="40% - 强调文字颜色 4 6 7" xfId="3421"/>
    <cellStyle name="40% - 强调文字颜色 1 12 10" xfId="3422"/>
    <cellStyle name="20% - 强调文字颜色 3 6 2 2" xfId="3423"/>
    <cellStyle name="差 4 11" xfId="3424"/>
    <cellStyle name="20% - 强调文字颜色 3 6 2 2 2" xfId="3425"/>
    <cellStyle name="20% - 强调文字颜色 3 6 2 2 2 2" xfId="3426"/>
    <cellStyle name="差 4 12" xfId="3427"/>
    <cellStyle name="20% - 强调文字颜色 3 6 2 2 3" xfId="3428"/>
    <cellStyle name="60% - 强调文字颜色 1 3 2 2" xfId="3429"/>
    <cellStyle name="20% - 强调文字颜色 3 6 3" xfId="3430"/>
    <cellStyle name="40% - 强调文字颜色 4 6 8" xfId="3431"/>
    <cellStyle name="40% - 强调文字颜色 1 12 11" xfId="3432"/>
    <cellStyle name="60% - 强调文字颜色 1 3 2 2 2" xfId="3433"/>
    <cellStyle name="20% - 强调文字颜色 3 6 3 2" xfId="3434"/>
    <cellStyle name="差 9 11" xfId="3435"/>
    <cellStyle name="60% - 强调文字颜色 1 3 2 2 2 2" xfId="3436"/>
    <cellStyle name="20% - 强调文字颜色 3 6 3 2 2" xfId="3437"/>
    <cellStyle name="20% - 强调文字颜色 3 6 3 2 2 2" xfId="3438"/>
    <cellStyle name="差 9 12" xfId="3439"/>
    <cellStyle name="20% - 强调文字颜色 3 6 3 2 3" xfId="3440"/>
    <cellStyle name="20% - 强调文字颜色 3 6 3 3 2" xfId="3441"/>
    <cellStyle name="60% - 强调文字颜色 1 3 2 3" xfId="3442"/>
    <cellStyle name="20% - 强调文字颜色 3 6 4" xfId="3443"/>
    <cellStyle name="常规 7 3 2 3 3" xfId="3444"/>
    <cellStyle name="20% - 强调文字颜色 4 2 5 2" xfId="3445"/>
    <cellStyle name="强调文字颜色 4 7 4 2" xfId="3446"/>
    <cellStyle name="40% - 强调文字颜色 4 6 9" xfId="3447"/>
    <cellStyle name="40% - 强调文字颜色 1 12 12" xfId="3448"/>
    <cellStyle name="60% - 强调文字颜色 1 3 2 3 2" xfId="3449"/>
    <cellStyle name="20% - 强调文字颜色 3 6 4 2" xfId="3450"/>
    <cellStyle name="常规 9 3" xfId="3451"/>
    <cellStyle name="20% - 强调文字颜色 4 2 5 2 2" xfId="3452"/>
    <cellStyle name="40% - 强调文字颜色 1 4" xfId="3453"/>
    <cellStyle name="20% - 强调文字颜色 3 6 4 2 2" xfId="3454"/>
    <cellStyle name="40% - 强调文字颜色 1 4 2" xfId="3455"/>
    <cellStyle name="20% - 强调文字颜色 3 6 4 3" xfId="3456"/>
    <cellStyle name="常规 4 2 5 2" xfId="3457"/>
    <cellStyle name="40% - 强调文字颜色 1 5" xfId="3458"/>
    <cellStyle name="60% - 强调文字颜色 1 3 2 4" xfId="3459"/>
    <cellStyle name="20% - 强调文字颜色 3 6 5" xfId="3460"/>
    <cellStyle name="常规 7 3 2 3 4" xfId="3461"/>
    <cellStyle name="20% - 强调文字颜色 4 2 5 3" xfId="3462"/>
    <cellStyle name="20% - 强调文字颜色 3 6 5 2" xfId="3463"/>
    <cellStyle name="40% - 强调文字颜色 2 4" xfId="3464"/>
    <cellStyle name="60% - 强调文字颜色 1 3 2 5" xfId="3465"/>
    <cellStyle name="20% - 强调文字颜色 3 6 6" xfId="3466"/>
    <cellStyle name="20% - 强调文字颜色 3 6 6 2" xfId="3467"/>
    <cellStyle name="40% - 强调文字颜色 3 4" xfId="3468"/>
    <cellStyle name="20% - 强调文字颜色 3 6 8" xfId="3469"/>
    <cellStyle name="强调文字颜色 6 9 3 2 2" xfId="3470"/>
    <cellStyle name="60% - 强调文字颜色 4 2" xfId="3471"/>
    <cellStyle name="20% - 强调文字颜色 3 6 9" xfId="3472"/>
    <cellStyle name="20% - 强调文字颜色 4 5 3 2 2 2" xfId="3473"/>
    <cellStyle name="20% - 强调文字颜色 6 4 4 2 2" xfId="3474"/>
    <cellStyle name="20% - 强调文字颜色 3 7" xfId="3475"/>
    <cellStyle name="40% - 强调文字颜色 1 8 2 5" xfId="3476"/>
    <cellStyle name="20% - 强调文字颜色 3 7 10" xfId="3477"/>
    <cellStyle name="20% - 强调文字颜色 3 7 12" xfId="3478"/>
    <cellStyle name="20% - 强调文字颜色 3 7 2" xfId="3479"/>
    <cellStyle name="20% - 强调文字颜色 3 7 2 2 2 2" xfId="3480"/>
    <cellStyle name="20% - 强调文字颜色 3 7 2 2 3" xfId="3481"/>
    <cellStyle name="标题 7" xfId="3482"/>
    <cellStyle name="40% - 强调文字颜色 2 4 10" xfId="3483"/>
    <cellStyle name="20% - 强调文字颜色 3 7 2 3" xfId="3484"/>
    <cellStyle name="20% - 强调文字颜色 3 7 2 4" xfId="3485"/>
    <cellStyle name="20% - 强调文字颜色 3 7 2 5" xfId="3486"/>
    <cellStyle name="40% - 强调文字颜色 1 14 3 2" xfId="3487"/>
    <cellStyle name="60% - 强调文字颜色 1 3 3 2" xfId="3488"/>
    <cellStyle name="20% - 强调文字颜色 3 7 3" xfId="3489"/>
    <cellStyle name="60% - 强调文字颜色 1 3 3 2 2" xfId="3490"/>
    <cellStyle name="20% - 强调文字颜色 3 7 3 2" xfId="3491"/>
    <cellStyle name="60% - 强调文字颜色 1 3 3 2 2 2" xfId="3492"/>
    <cellStyle name="20% - 强调文字颜色 3 7 3 2 2" xfId="3493"/>
    <cellStyle name="20% - 强调文字颜色 3 7 3 2 3" xfId="3494"/>
    <cellStyle name="20% - 强调文字颜色 6 4 2 2 2 2" xfId="3495"/>
    <cellStyle name="40% - 强调文字颜色 2 9 10" xfId="3496"/>
    <cellStyle name="60% - 强调文字颜色 1 3 3 2 3" xfId="3497"/>
    <cellStyle name="20% - 强调文字颜色 3 7 3 3" xfId="3498"/>
    <cellStyle name="计算 2 2 3" xfId="3499"/>
    <cellStyle name="20% - 强调文字颜色 3 7 3 3 2" xfId="3500"/>
    <cellStyle name="20% - 强调文字颜色 3 7 3 4" xfId="3501"/>
    <cellStyle name="60% - 强调文字颜色 1 3 3 3" xfId="3502"/>
    <cellStyle name="20% - 强调文字颜色 3 7 4" xfId="3503"/>
    <cellStyle name="千位分隔 3 20" xfId="3504"/>
    <cellStyle name="千位分隔 3 15" xfId="3505"/>
    <cellStyle name="20% - 强调文字颜色 4 2 6 2" xfId="3506"/>
    <cellStyle name="60% - 强调文字颜色 1 3 3 3 2" xfId="3507"/>
    <cellStyle name="20% - 强调文字颜色 3 7 4 2" xfId="3508"/>
    <cellStyle name="常规 2 2 2 2 7" xfId="3509"/>
    <cellStyle name="20% - 强调文字颜色 3 7 4 2 2" xfId="3510"/>
    <cellStyle name="20% - 强调文字颜色 3 7 4 3" xfId="3511"/>
    <cellStyle name="60% - 强调文字颜色 1 3 3 4" xfId="3512"/>
    <cellStyle name="20% - 强调文字颜色 3 7 5" xfId="3513"/>
    <cellStyle name="20% - 强调文字颜色 3 7 5 2" xfId="3514"/>
    <cellStyle name="20% - 强调文字颜色 3 7 6" xfId="3515"/>
    <cellStyle name="40% - 强调文字颜色 3 3 2 2 2 2" xfId="3516"/>
    <cellStyle name="20% - 强调文字颜色 3 7 6 2" xfId="3517"/>
    <cellStyle name="20% - 强调文字颜色 3 7 7" xfId="3518"/>
    <cellStyle name="20% - 强调文字颜色 3 7 8" xfId="3519"/>
    <cellStyle name="60% - 强调文字颜色 5 2" xfId="3520"/>
    <cellStyle name="20% - 强调文字颜色 3 7 9" xfId="3521"/>
    <cellStyle name="20% - 强调文字颜色 3 8" xfId="3522"/>
    <cellStyle name="强调文字颜色 1 10 2 2 2" xfId="3523"/>
    <cellStyle name="20% - 强调文字颜色 3 8 10" xfId="3524"/>
    <cellStyle name="输入 6 6 2" xfId="3525"/>
    <cellStyle name="借出原因 6 2 2" xfId="3526"/>
    <cellStyle name="20% - 强调文字颜色 3 8 11" xfId="3527"/>
    <cellStyle name="40% - 强调文字颜色 1 2 2 2" xfId="3528"/>
    <cellStyle name="输入 6 6 3" xfId="3529"/>
    <cellStyle name="20% - 强调文字颜色 3 8 12" xfId="3530"/>
    <cellStyle name="40% - 强调文字颜色 1 2 2 3" xfId="3531"/>
    <cellStyle name="强调文字颜色 6 11 2 2 2" xfId="3532"/>
    <cellStyle name="40% - 强调文字颜色 2 7 3 2 2" xfId="3533"/>
    <cellStyle name="20% - 强调文字颜色 3 8 2 2 2" xfId="3534"/>
    <cellStyle name="20% - 强调文字颜色 5 10 5 2" xfId="3535"/>
    <cellStyle name="20% - 强调文字颜色 6 11 9" xfId="3536"/>
    <cellStyle name="40% - 强调文字颜色 6 11 5 2" xfId="3537"/>
    <cellStyle name="40% - 强调文字颜色 3 7 5" xfId="3538"/>
    <cellStyle name="千位分隔 2 2 15" xfId="3539"/>
    <cellStyle name="检查单元格 11 10" xfId="3540"/>
    <cellStyle name="20% - 强调文字颜色 3 8 2 2 2 2" xfId="3541"/>
    <cellStyle name="40% - 强调文字颜色 3 7 5 2" xfId="3542"/>
    <cellStyle name="20% - 强调文字颜色 3 8 2 2 3" xfId="3543"/>
    <cellStyle name="40% - 强调文字颜色 3 7 6" xfId="3544"/>
    <cellStyle name="20% - 强调文字颜色 3 8 2 3 2" xfId="3545"/>
    <cellStyle name="20% - 强调文字颜色 5 10 6 2" xfId="3546"/>
    <cellStyle name="20% - 强调文字颜色 6 12 9" xfId="3547"/>
    <cellStyle name="40% - 强调文字颜色 6 11 6 2" xfId="3548"/>
    <cellStyle name="40% - 强调文字颜色 3 8 5" xfId="3549"/>
    <cellStyle name="20% - 强调文字颜色 3 8 2 4" xfId="3550"/>
    <cellStyle name="20% - 强调文字颜色 5 10 7" xfId="3551"/>
    <cellStyle name="计算 13 2 3 2" xfId="3552"/>
    <cellStyle name="20% - 强调文字颜色 3 8 2 5" xfId="3553"/>
    <cellStyle name="20% - 强调文字颜色 5 10 8" xfId="3554"/>
    <cellStyle name="60% - 强调文字颜色 1 3 4 2" xfId="3555"/>
    <cellStyle name="20% - 强调文字颜色 3 8 3" xfId="3556"/>
    <cellStyle name="20% - 强调文字颜色 6 9 12" xfId="3557"/>
    <cellStyle name="60% - 强调文字颜色 1 3 4 2 2" xfId="3558"/>
    <cellStyle name="20% - 强调文字颜色 3 8 3 2" xfId="3559"/>
    <cellStyle name="20% - 强调文字颜色 5 11 5" xfId="3560"/>
    <cellStyle name="20% - 强调文字颜色 3 8 3 2 2" xfId="3561"/>
    <cellStyle name="20% - 强调文字颜色 5 11 5 2" xfId="3562"/>
    <cellStyle name="适中 4 11" xfId="3563"/>
    <cellStyle name="20% - 强调文字颜色 3 8 3 2 2 2" xfId="3564"/>
    <cellStyle name="20% - 强调文字颜色 3 8 3 2 3" xfId="3565"/>
    <cellStyle name="计算 11 5 5" xfId="3566"/>
    <cellStyle name="20% - 强调文字颜色 6 4 3 2 2 2" xfId="3567"/>
    <cellStyle name="20% - 强调文字颜色 3 8 3 3" xfId="3568"/>
    <cellStyle name="20% - 强调文字颜色 5 11 6" xfId="3569"/>
    <cellStyle name="40% - 强调文字颜色 1 13 2 2 2" xfId="3570"/>
    <cellStyle name="20% - 强调文字颜色 3 8 3 4" xfId="3571"/>
    <cellStyle name="标题 2 11 2 2" xfId="3572"/>
    <cellStyle name="20% - 强调文字颜色 5 11 7" xfId="3573"/>
    <cellStyle name="40% - 强调文字颜色 1 13 2 2 3" xfId="3574"/>
    <cellStyle name="20% - 强调文字颜色 3 8 4 2" xfId="3575"/>
    <cellStyle name="20% - 强调文字颜色 5 12 5" xfId="3576"/>
    <cellStyle name="20% - 强调文字颜色 3 8 4 2 2" xfId="3577"/>
    <cellStyle name="注释 2 3 5" xfId="3578"/>
    <cellStyle name="20% - 强调文字颜色 5 12 5 2" xfId="3579"/>
    <cellStyle name="20% - 强调文字颜色 3 8 4 3" xfId="3580"/>
    <cellStyle name="20% - 强调文字颜色 5 12 6" xfId="3581"/>
    <cellStyle name="40% - 强调文字颜色 1 13 2 3 2" xfId="3582"/>
    <cellStyle name="20% - 强调文字颜色 3 8 5" xfId="3583"/>
    <cellStyle name="20% - 强调文字颜色 3 8 5 2" xfId="3584"/>
    <cellStyle name="20% - 强调文字颜色 5 13 5" xfId="3585"/>
    <cellStyle name="20% - 强调文字颜色 3 8 6" xfId="3586"/>
    <cellStyle name="20% - 强调文字颜色 3 8 6 2" xfId="3587"/>
    <cellStyle name="20% - 强调文字颜色 3 8 7" xfId="3588"/>
    <cellStyle name="20% - 强调文字颜色 3 8 8" xfId="3589"/>
    <cellStyle name="60% - 强调文字颜色 6 2" xfId="3590"/>
    <cellStyle name="20% - 强调文字颜色 3 8 9" xfId="3591"/>
    <cellStyle name="20% - 强调文字颜色 3 9 10" xfId="3592"/>
    <cellStyle name="20% - 强调文字颜色 3 9 11" xfId="3593"/>
    <cellStyle name="40% - 强调文字颜色 1 2 7 2" xfId="3594"/>
    <cellStyle name="20% - 强调文字颜色 3 9 12" xfId="3595"/>
    <cellStyle name="20% - 强调文字颜色 3 9 2" xfId="3596"/>
    <cellStyle name="20% - 强调文字颜色 3 9 2 2" xfId="3597"/>
    <cellStyle name="20% - 强调文字颜色 3 9 2 2 2 2" xfId="3598"/>
    <cellStyle name="钎霖_(沥焊何巩)岿喊牢盔拌裙" xfId="3599"/>
    <cellStyle name="20% - 强调文字颜色 6 8 6" xfId="3600"/>
    <cellStyle name="60% - 强调文字颜色 1 3 5 2" xfId="3601"/>
    <cellStyle name="20% - 强调文字颜色 3 9 3" xfId="3602"/>
    <cellStyle name="20% - 强调文字颜色 3 9 3 2" xfId="3603"/>
    <cellStyle name="20% - 强调文字颜色 3 9 3 2 2" xfId="3604"/>
    <cellStyle name="常规 5 5 13" xfId="3605"/>
    <cellStyle name="20% - 强调文字颜色 3 9 3 2 2 2" xfId="3606"/>
    <cellStyle name="20% - 强调文字颜色 3 9 3 2 3" xfId="3607"/>
    <cellStyle name="20% - 强调文字颜色 3 9 4" xfId="3608"/>
    <cellStyle name="20% - 强调文字颜色 3 9 4 2" xfId="3609"/>
    <cellStyle name="20% - 强调文字颜色 3 9 4 2 2" xfId="3610"/>
    <cellStyle name="20% - 强调文字颜色 3 9 5" xfId="3611"/>
    <cellStyle name="20% - 强调文字颜色 3 9 5 2" xfId="3612"/>
    <cellStyle name="20% - 强调文字颜色 3 9 6" xfId="3613"/>
    <cellStyle name="20% - 强调文字颜色 3 9 6 2" xfId="3614"/>
    <cellStyle name="20% - 强调文字颜色 3 9 7" xfId="3615"/>
    <cellStyle name="注释 2 5 2 2" xfId="3616"/>
    <cellStyle name="20% - 强调文字颜色 3 9 8" xfId="3617"/>
    <cellStyle name="20% - 强调文字颜色 3 9 9" xfId="3618"/>
    <cellStyle name="输出 2 8" xfId="3619"/>
    <cellStyle name="60% - 强调文字颜色 1 6 2 2 3" xfId="3620"/>
    <cellStyle name="20% - 强调文字颜色 4 10 10" xfId="3621"/>
    <cellStyle name="20% - 强调文字颜色 6 6 3 3" xfId="3622"/>
    <cellStyle name="输出 2 9" xfId="3623"/>
    <cellStyle name="20% - 强调文字颜色 4 10 11" xfId="3624"/>
    <cellStyle name="20% - 强调文字颜色 6 6 3 4" xfId="3625"/>
    <cellStyle name="20% - 强调文字颜色 4 10 12" xfId="3626"/>
    <cellStyle name="Header2 3 11 2" xfId="3627"/>
    <cellStyle name="20% - 强调文字颜色 4 10 2 2" xfId="3628"/>
    <cellStyle name="好 4 10" xfId="3629"/>
    <cellStyle name="40% - 强调文字颜色 1 9 2 3" xfId="3630"/>
    <cellStyle name="20% - 强调文字颜色 4 10 2 2 2" xfId="3631"/>
    <cellStyle name="注释 19 4" xfId="3632"/>
    <cellStyle name="40% - 强调文字颜色 1 9 2 3 2" xfId="3633"/>
    <cellStyle name="20% - 强调文字颜色 4 10 2 2 2 2" xfId="3634"/>
    <cellStyle name="强调文字颜色 2 9 10" xfId="3635"/>
    <cellStyle name="常规 7 4 2 2 2" xfId="3636"/>
    <cellStyle name="20% - 强调文字颜色 4 10 2 2 3" xfId="3637"/>
    <cellStyle name="20% - 强调文字颜色 4 10 2 3" xfId="3638"/>
    <cellStyle name="好 4 11" xfId="3639"/>
    <cellStyle name="40% - 强调文字颜色 1 9 2 4" xfId="3640"/>
    <cellStyle name="20% - 强调文字颜色 4 10 2 4" xfId="3641"/>
    <cellStyle name="好 4 12" xfId="3642"/>
    <cellStyle name="40% - 强调文字颜色 1 9 2 5" xfId="3643"/>
    <cellStyle name="20% - 强调文字颜色 4 10 2 5" xfId="3644"/>
    <cellStyle name="Header2 3 12" xfId="3645"/>
    <cellStyle name="60% - 强调文字颜色 4 11 2 2 2" xfId="3646"/>
    <cellStyle name="20% - 强调文字颜色 4 10 3" xfId="3647"/>
    <cellStyle name="40% - 强调文字颜色 3 10 2 2 2" xfId="3648"/>
    <cellStyle name="20% - 强调文字颜色 4 10 3 2 2" xfId="3649"/>
    <cellStyle name="40% - 强调文字颜色 1 9 3 3 2" xfId="3650"/>
    <cellStyle name="20% - 强调文字颜色 4 10 3 3 2" xfId="3651"/>
    <cellStyle name="注释 4 12" xfId="3652"/>
    <cellStyle name="20% - 强调文字颜色 4 10 3 4" xfId="3653"/>
    <cellStyle name="Header2 3 13" xfId="3654"/>
    <cellStyle name="60% - 强调文字颜色 4 11 2 2 3" xfId="3655"/>
    <cellStyle name="20% - 强调文字颜色 4 10 4" xfId="3656"/>
    <cellStyle name="40% - 强调文字颜色 5 11 4" xfId="3657"/>
    <cellStyle name="20% - 强调文字颜色 4 13 10" xfId="3658"/>
    <cellStyle name="差 12 3 2" xfId="3659"/>
    <cellStyle name="40% - 强调文字颜色 3 10 2 2 3" xfId="3660"/>
    <cellStyle name="20% - 强调文字颜色 4 10 4 2 2" xfId="3661"/>
    <cellStyle name="20% - 强调文字颜色 4 10 4 3" xfId="3662"/>
    <cellStyle name="20% - 强调文字颜色 4 10 9" xfId="3663"/>
    <cellStyle name="40% - 强调文字颜色 1 10 3 3" xfId="3664"/>
    <cellStyle name="输出 7 8" xfId="3665"/>
    <cellStyle name="20% - 强调文字颜色 4 11 10" xfId="3666"/>
    <cellStyle name="20% - 强调文字颜色 4 13 2 3 2" xfId="3667"/>
    <cellStyle name="输出 7 9" xfId="3668"/>
    <cellStyle name="60% - 强调文字颜色 5 3 2 2" xfId="3669"/>
    <cellStyle name="20% - 强调文字颜色 4 11 11" xfId="3670"/>
    <cellStyle name="60% - 强调文字颜色 5 3 2 3" xfId="3671"/>
    <cellStyle name="20% - 强调文字颜色 4 11 12" xfId="3672"/>
    <cellStyle name="20% - 强调文字颜色 4 11 2 2" xfId="3673"/>
    <cellStyle name="20% - 强调文字颜色 4 11 2 2 2" xfId="3674"/>
    <cellStyle name="20% - 强调文字颜色 4 11 2 2 2 2" xfId="3675"/>
    <cellStyle name="20% - 强调文字颜色 4 11 2 2 3" xfId="3676"/>
    <cellStyle name="20% - 强调文字颜色 4 11 2 4" xfId="3677"/>
    <cellStyle name="40% - 强调文字颜色 5 12 2 4" xfId="3678"/>
    <cellStyle name="20% - 强调文字颜色 6 10 3 2" xfId="3679"/>
    <cellStyle name="40% - 强调文字颜色 1 3 2 2 2" xfId="3680"/>
    <cellStyle name="强调文字颜色 5 3 10" xfId="3681"/>
    <cellStyle name="20% - 强调文字颜色 4 11 2 5" xfId="3682"/>
    <cellStyle name="40% - 强调文字颜色 5 12 2 5" xfId="3683"/>
    <cellStyle name="20% - 强调文字颜色 6 10 3 3" xfId="3684"/>
    <cellStyle name="40% - 强调文字颜色 1 3 2 2 3" xfId="3685"/>
    <cellStyle name="60% - 强调文字颜色 4 11 2 3 2" xfId="3686"/>
    <cellStyle name="20% - 强调文字颜色 4 11 3" xfId="3687"/>
    <cellStyle name="解释性文本 8 7" xfId="3688"/>
    <cellStyle name="百分比 5 3 2" xfId="3689"/>
    <cellStyle name="60% - 强调文字颜色 6 13 3" xfId="3690"/>
    <cellStyle name="40% - 强调文字颜色 1 7 3 2 2" xfId="3691"/>
    <cellStyle name="40% - 强调文字颜色 3 10 2 3 2" xfId="3692"/>
    <cellStyle name="20% - 强调文字颜色 4 11 3 2 2" xfId="3693"/>
    <cellStyle name="20% - 强调文字颜色 4 11 3 2 3" xfId="3694"/>
    <cellStyle name="20% - 强调文字颜色 6 9 2 3 2" xfId="3695"/>
    <cellStyle name="常规 7 4 17" xfId="3696"/>
    <cellStyle name="20% - 强调文字颜色 4 11 3 3 2" xfId="3697"/>
    <cellStyle name="注释 9 12" xfId="3698"/>
    <cellStyle name="20% - 强调文字颜色 4 11 3 4" xfId="3699"/>
    <cellStyle name="40% - 强调文字颜色 5 12 3 4" xfId="3700"/>
    <cellStyle name="20% - 强调文字颜色 6 10 4 2" xfId="3701"/>
    <cellStyle name="20% - 强调文字颜色 6 6 10" xfId="3702"/>
    <cellStyle name="40% - 强调文字颜色 1 3 2 3 2" xfId="3703"/>
    <cellStyle name="20% - 强调文字颜色 4 11 4" xfId="3704"/>
    <cellStyle name="差 5 8" xfId="3705"/>
    <cellStyle name="20% - 强调文字颜色 6 6 2 2 2" xfId="3706"/>
    <cellStyle name="百分比 5 3 3" xfId="3707"/>
    <cellStyle name="60% - 强调文字颜色 6 13 4" xfId="3708"/>
    <cellStyle name="40% - 强调文字颜色 1 7 3 2 3" xfId="3709"/>
    <cellStyle name="20% - 强调文字颜色 4 11 4 3" xfId="3710"/>
    <cellStyle name="20% - 强调文字颜色 4 11 8" xfId="3711"/>
    <cellStyle name="输出 11 5 5 2" xfId="3712"/>
    <cellStyle name="汇总 2 3 2 2" xfId="3713"/>
    <cellStyle name="40% - 强调文字颜色 1 10 4 2" xfId="3714"/>
    <cellStyle name="20% - 强调文字颜色 4 11 9" xfId="3715"/>
    <cellStyle name="40% - 强调文字颜色 1 10 4 3" xfId="3716"/>
    <cellStyle name="输出 2 4 3 3" xfId="3717"/>
    <cellStyle name="计算 9 6 2" xfId="3718"/>
    <cellStyle name="20% - 强调文字颜色 4 12 10" xfId="3719"/>
    <cellStyle name="标题 3 10 2" xfId="3720"/>
    <cellStyle name="20% - 强调文字颜色 4 8 2 2 2 2" xfId="3721"/>
    <cellStyle name="注释 19 2 2 2" xfId="3722"/>
    <cellStyle name="计算 9 6 3" xfId="3723"/>
    <cellStyle name="20% - 强调文字颜色 4 12 11" xfId="3724"/>
    <cellStyle name="计算 9 6 4" xfId="3725"/>
    <cellStyle name="20% - 强调文字颜色 4 12 12" xfId="3726"/>
    <cellStyle name="20% - 强调文字颜色 5 8 3 2 2 2" xfId="3727"/>
    <cellStyle name="20% - 强调文字颜色 4 12 2" xfId="3728"/>
    <cellStyle name="20% - 强调文字颜色 4 12 2 2" xfId="3729"/>
    <cellStyle name="20% - 强调文字颜色 5 3 12" xfId="3730"/>
    <cellStyle name="20% - 强调文字颜色 4 12 2 2 2 2" xfId="3731"/>
    <cellStyle name="好 4 4 2" xfId="3732"/>
    <cellStyle name="20% - 强调文字颜色 4 12 2 2 3" xfId="3733"/>
    <cellStyle name="20% - 强调文字颜色 4 12 2 3" xfId="3734"/>
    <cellStyle name="40% - 强调文字颜色 3 7 3 3 2" xfId="3735"/>
    <cellStyle name="20% - 强调文字颜色 4 12 2 4" xfId="3736"/>
    <cellStyle name="40% - 强调文字颜色 5 13 2 4" xfId="3737"/>
    <cellStyle name="20% - 强调文字颜色 6 11 3 2" xfId="3738"/>
    <cellStyle name="40% - 强调文字颜色 1 3 3 2 2" xfId="3739"/>
    <cellStyle name="20% - 强调文字颜色 4 12 3" xfId="3740"/>
    <cellStyle name="解释性文本 9 7" xfId="3741"/>
    <cellStyle name="百分比 5 4 2" xfId="3742"/>
    <cellStyle name="60% - 强调文字颜色 6 14 3" xfId="3743"/>
    <cellStyle name="40% - 强调文字颜色 1 7 3 3 2" xfId="3744"/>
    <cellStyle name="20% - 强调文字颜色 4 12 3 2 2" xfId="3745"/>
    <cellStyle name="20% - 强调文字颜色 4 12 3 2 2 2" xfId="3746"/>
    <cellStyle name="40% - 强调文字颜色 1 6 7" xfId="3747"/>
    <cellStyle name="好 5 4 2" xfId="3748"/>
    <cellStyle name="20% - 强调文字颜色 4 12 3 2 3" xfId="3749"/>
    <cellStyle name="20% - 强调文字颜色 4 12 3 4" xfId="3750"/>
    <cellStyle name="40% - 强调文字颜色 5 13 3 4" xfId="3751"/>
    <cellStyle name="20% - 强调文字颜色 6 11 4 2" xfId="3752"/>
    <cellStyle name="40% - 强调文字颜色 1 3 3 3 2" xfId="3753"/>
    <cellStyle name="20% - 强调文字颜色 4 12 4" xfId="3754"/>
    <cellStyle name="差 6 8" xfId="3755"/>
    <cellStyle name="20% - 强调文字颜色 6 6 2 3 2" xfId="3756"/>
    <cellStyle name="20% - 强调文字颜色 4 12 4 2 2" xfId="3757"/>
    <cellStyle name="20% - 强调文字颜色 4 12 4 3" xfId="3758"/>
    <cellStyle name="烹拳_1202" xfId="3759"/>
    <cellStyle name="20% - 强调文字颜色 4 12 6 2" xfId="3760"/>
    <cellStyle name="20% - 强调文字颜色 4 2 2 2 3 2" xfId="3761"/>
    <cellStyle name="20% - 强调文字颜色 4 12 7" xfId="3762"/>
    <cellStyle name="20% - 强调文字颜色 4 2 2 2 4" xfId="3763"/>
    <cellStyle name="20% - 强调文字颜色 4 12 8" xfId="3764"/>
    <cellStyle name="40% - 强调文字颜色 1 10 5 2" xfId="3765"/>
    <cellStyle name="20% - 强调文字颜色 4 12 9" xfId="3766"/>
    <cellStyle name="20% - 强调文字颜色 4 13 2" xfId="3767"/>
    <cellStyle name="20% - 强调文字颜色 4 13 2 2" xfId="3768"/>
    <cellStyle name="20% - 强调文字颜色 5 8 12" xfId="3769"/>
    <cellStyle name="20% - 强调文字颜色 4 13 2 2 2" xfId="3770"/>
    <cellStyle name="40% - 强调文字颜色 6 13 4" xfId="3771"/>
    <cellStyle name="20% - 强调文字颜色 4 13 2 2 2 2" xfId="3772"/>
    <cellStyle name="20% - 强调文字颜色 5 12 4" xfId="3773"/>
    <cellStyle name="20% - 强调文字颜色 4 13 2 2 3" xfId="3774"/>
    <cellStyle name="20% - 强调文字颜色 4 13 2 3" xfId="3775"/>
    <cellStyle name="20% - 强调文字颜色 4 13 2 5" xfId="3776"/>
    <cellStyle name="20% - 强调文字颜色 6 12 3 3" xfId="3777"/>
    <cellStyle name="注释 9 2 3" xfId="3778"/>
    <cellStyle name="20% - 强调文字颜色 6 2 3 2 2" xfId="3779"/>
    <cellStyle name="20% - 强调文字颜色 4 13 3" xfId="3780"/>
    <cellStyle name="常规 5 3 15" xfId="3781"/>
    <cellStyle name="20% - 强调文字颜色 4 13 3 2" xfId="3782"/>
    <cellStyle name="20% - 强调文字颜色 4 13 3 2 2" xfId="3783"/>
    <cellStyle name="20% - 强调文字颜色 4 13 3 2 2 2" xfId="3784"/>
    <cellStyle name="20% - 强调文字颜色 4 13 3 2 3" xfId="3785"/>
    <cellStyle name="强调文字颜色 4 2 2 2" xfId="3786"/>
    <cellStyle name="常规 5 3 16" xfId="3787"/>
    <cellStyle name="20% - 强调文字颜色 4 13 3 3" xfId="3788"/>
    <cellStyle name="强调文字颜色 4 2 2 2 2" xfId="3789"/>
    <cellStyle name="20% - 强调文字颜色 4 13 3 3 2" xfId="3790"/>
    <cellStyle name="输出 5 13 2" xfId="3791"/>
    <cellStyle name="强调文字颜色 4 2 2 3" xfId="3792"/>
    <cellStyle name="20% - 强调文字颜色 4 13 3 4" xfId="3793"/>
    <cellStyle name="20% - 强调文字颜色 6 12 4 2" xfId="3794"/>
    <cellStyle name="20% - 强调文字颜色 4 13 4" xfId="3795"/>
    <cellStyle name="20% - 强调文字颜色 4 13 4 2" xfId="3796"/>
    <cellStyle name="强调文字颜色 4 2 3 2" xfId="3797"/>
    <cellStyle name="20% - 强调文字颜色 4 13 4 3" xfId="3798"/>
    <cellStyle name="20% - 强调文字颜色 4 13 5 2" xfId="3799"/>
    <cellStyle name="20% - 强调文字颜色 4 2 2 3 2 2" xfId="3800"/>
    <cellStyle name="20% - 强调文字颜色 4 13 6" xfId="3801"/>
    <cellStyle name="20% - 强调文字颜色 4 2 2 3 3" xfId="3802"/>
    <cellStyle name="20% - 强调文字颜色 4 13 6 2" xfId="3803"/>
    <cellStyle name="20% - 强调文字颜色 4 13 7" xfId="3804"/>
    <cellStyle name="20% - 强调文字颜色 4 13 7 2" xfId="3805"/>
    <cellStyle name="20% - 强调文字颜色 5 9 12" xfId="3806"/>
    <cellStyle name="20% - 强调文字颜色 4 13 8" xfId="3807"/>
    <cellStyle name="40% - 强调文字颜色 1 10 6 2" xfId="3808"/>
    <cellStyle name="20% - 强调文字颜色 4 13 9" xfId="3809"/>
    <cellStyle name="20% - 强调文字颜色 4 14 2" xfId="3810"/>
    <cellStyle name="20% - 强调文字颜色 4 14 2 2" xfId="3811"/>
    <cellStyle name="20% - 强调文字颜色 4 14 2 2 2" xfId="3812"/>
    <cellStyle name="20% - 强调文字颜色 6 11 3 4" xfId="3813"/>
    <cellStyle name="注释 8 2 4" xfId="3814"/>
    <cellStyle name="20% - 强调文字颜色 6 2 2 2 3" xfId="3815"/>
    <cellStyle name="20% - 强调文字颜色 4 14 2 3" xfId="3816"/>
    <cellStyle name="20% - 强调文字颜色 4 14 3" xfId="3817"/>
    <cellStyle name="20% - 强调文字颜色 4 14 4" xfId="3818"/>
    <cellStyle name="Header2 4 11 2" xfId="3819"/>
    <cellStyle name="20% - 强调文字颜色 4 15 2 2" xfId="3820"/>
    <cellStyle name="40% - 强调文字颜色 1 3 8" xfId="3821"/>
    <cellStyle name="Header2 4 12" xfId="3822"/>
    <cellStyle name="20% - 强调文字颜色 4 15 3" xfId="3823"/>
    <cellStyle name="20% - 强调文字颜色 4 16 2" xfId="3824"/>
    <cellStyle name="20% - 强调文字颜色 4 2" xfId="3825"/>
    <cellStyle name="20% - 强调文字颜色 4 2 12" xfId="3826"/>
    <cellStyle name="20% - 强调文字颜色 5 5 5 2" xfId="3827"/>
    <cellStyle name="差 5 3 3" xfId="3828"/>
    <cellStyle name="20% - 强调文字颜色 4 2 2 2 2 2 2" xfId="3829"/>
    <cellStyle name="20% - 强调文字颜色 4 2 2 2 2 3" xfId="3830"/>
    <cellStyle name="20% - 强调文字颜色 4 2 2 2 2 3 2" xfId="3831"/>
    <cellStyle name="20% - 强调文字颜色 4 2 3" xfId="3832"/>
    <cellStyle name="20% - 强调文字颜色 4 2 4" xfId="3833"/>
    <cellStyle name="20% - 强调文字颜色 4 2 5" xfId="3834"/>
    <cellStyle name="20% - 强调文字颜色 4 2 6" xfId="3835"/>
    <cellStyle name="20% - 强调文字颜色 4 2 7" xfId="3836"/>
    <cellStyle name="20% - 强调文字颜色 4 2 8" xfId="3837"/>
    <cellStyle name="20% - 强调文字颜色 4 2 9" xfId="3838"/>
    <cellStyle name="20% - 强调文字颜色 4 3 10" xfId="3839"/>
    <cellStyle name="强调文字颜色 4 8 3 2" xfId="3840"/>
    <cellStyle name="40% - 强调文字颜色 5 5 9" xfId="3841"/>
    <cellStyle name="20% - 强调文字颜色 4 3 2 2 2" xfId="3842"/>
    <cellStyle name="20% - 强调文字颜色 4 3 4 2" xfId="3843"/>
    <cellStyle name="20% - 强调文字颜色 4 5 4" xfId="3844"/>
    <cellStyle name="强调文字颜色 4 8 3 2 2" xfId="3845"/>
    <cellStyle name="20% - 强调文字颜色 4 3 2 2 2 2" xfId="3846"/>
    <cellStyle name="常规 16 9" xfId="3847"/>
    <cellStyle name="20% - 强调文字颜色 4 3 4 2 2" xfId="3848"/>
    <cellStyle name="适中 3 6" xfId="3849"/>
    <cellStyle name="20% - 强调文字颜色 4 5 4 2" xfId="3850"/>
    <cellStyle name="20% - 强调文字颜色 6 5 4" xfId="3851"/>
    <cellStyle name="强调文字颜色 4 8 3 3" xfId="3852"/>
    <cellStyle name="20% - 强调文字颜色 4 3 2 2 3" xfId="3853"/>
    <cellStyle name="20% - 强调文字颜色 4 3 4 3" xfId="3854"/>
    <cellStyle name="20% - 强调文字颜色 4 5 5" xfId="3855"/>
    <cellStyle name="强调文字颜色 4 8 4" xfId="3856"/>
    <cellStyle name="20% - 强调文字颜色 4 3 2 3" xfId="3857"/>
    <cellStyle name="20% - 强调文字颜色 4 3 5" xfId="3858"/>
    <cellStyle name="输入 10 4" xfId="3859"/>
    <cellStyle name="20% - 强调文字颜色 5 13 12" xfId="3860"/>
    <cellStyle name="强调文字颜色 4 8 4 2" xfId="3861"/>
    <cellStyle name="40% - 强调文字颜色 5 6 9" xfId="3862"/>
    <cellStyle name="20% - 强调文字颜色 4 3 2 3 2" xfId="3863"/>
    <cellStyle name="20% - 强调文字颜色 4 3 5 2" xfId="3864"/>
    <cellStyle name="60% - 强调文字颜色 1 4 2 3" xfId="3865"/>
    <cellStyle name="20% - 强调文字颜色 4 6 4" xfId="3866"/>
    <cellStyle name="强调文字颜色 4 8 5" xfId="3867"/>
    <cellStyle name="20% - 强调文字颜色 4 3 2 4" xfId="3868"/>
    <cellStyle name="20% - 强调文字颜色 4 3 6" xfId="3869"/>
    <cellStyle name="输入 10 5" xfId="3870"/>
    <cellStyle name="20% - 强调文字颜色 5 13 13" xfId="3871"/>
    <cellStyle name="强调文字颜色 4 9 3" xfId="3872"/>
    <cellStyle name="20% - 强调文字颜色 4 3 3 2" xfId="3873"/>
    <cellStyle name="20% - 强调文字颜色 4 4 4" xfId="3874"/>
    <cellStyle name="20% - 强调文字颜色 6 7 2 2 3" xfId="3875"/>
    <cellStyle name="强调文字颜色 4 9 3 2" xfId="3876"/>
    <cellStyle name="40% - 强调文字颜色 6 5 9" xfId="3877"/>
    <cellStyle name="20% - 强调文字颜色 4 3 3 2 2" xfId="3878"/>
    <cellStyle name="20% - 强调文字颜色 4 4 4 2" xfId="3879"/>
    <cellStyle name="20% - 强调文字颜色 5 5 4" xfId="3880"/>
    <cellStyle name="强调文字颜色 4 9 3 2 2" xfId="3881"/>
    <cellStyle name="20% - 强调文字颜色 4 3 3 2 2 2" xfId="3882"/>
    <cellStyle name="20% - 强调文字颜色 4 4 4 2 2" xfId="3883"/>
    <cellStyle name="20% - 强调文字颜色 5 5 4 2" xfId="3884"/>
    <cellStyle name="强调文字颜色 4 9 3 3" xfId="3885"/>
    <cellStyle name="20% - 强调文字颜色 4 3 3 2 3" xfId="3886"/>
    <cellStyle name="20% - 强调文字颜色 4 4 4 3" xfId="3887"/>
    <cellStyle name="20% - 强调文字颜色 5 5 5" xfId="3888"/>
    <cellStyle name="强调文字颜色 4 9 4" xfId="3889"/>
    <cellStyle name="20% - 强调文字颜色 4 3 3 3" xfId="3890"/>
    <cellStyle name="20% - 强调文字颜色 4 4 5" xfId="3891"/>
    <cellStyle name="强调文字颜色 4 9 4 2" xfId="3892"/>
    <cellStyle name="40% - 强调文字颜色 6 6 9" xfId="3893"/>
    <cellStyle name="20% - 强调文字颜色 4 3 3 3 2" xfId="3894"/>
    <cellStyle name="20% - 强调文字颜色 4 4 5 2" xfId="3895"/>
    <cellStyle name="输入 10 16" xfId="3896"/>
    <cellStyle name="60% - 强调文字颜色 1 5 2 3" xfId="3897"/>
    <cellStyle name="20% - 强调文字颜色 5 6 4" xfId="3898"/>
    <cellStyle name="强调文字颜色 4 9 5" xfId="3899"/>
    <cellStyle name="20% - 强调文字颜色 4 3 3 4" xfId="3900"/>
    <cellStyle name="20% - 强调文字颜色 4 4 6" xfId="3901"/>
    <cellStyle name="20% - 强调文字颜色 4 3 6 2" xfId="3902"/>
    <cellStyle name="60% - 强调文字颜色 1 4 3 3" xfId="3903"/>
    <cellStyle name="20% - 强调文字颜色 4 7 4" xfId="3904"/>
    <cellStyle name="20% - 强调文字颜色 4 3 8" xfId="3905"/>
    <cellStyle name="20% - 强调文字颜色 4 3 9" xfId="3906"/>
    <cellStyle name="20% - 强调文字颜色 4 4 10" xfId="3907"/>
    <cellStyle name="20% - 强调文字颜色 4 4 11" xfId="3908"/>
    <cellStyle name="20% - 强调文字颜色 4 4 12" xfId="3909"/>
    <cellStyle name="强调文字颜色 5 8 3" xfId="3910"/>
    <cellStyle name="20% - 强调文字颜色 4 4 2 2" xfId="3911"/>
    <cellStyle name="20% - 强调文字颜色 5 3 4" xfId="3912"/>
    <cellStyle name="40% - 强调文字颜色 1 8 3 2 2 2" xfId="3913"/>
    <cellStyle name="强调文字颜色 5 8 3 2" xfId="3914"/>
    <cellStyle name="20% - 强调文字颜色 4 4 2 2 2" xfId="3915"/>
    <cellStyle name="常规 7 4 3 2 3" xfId="3916"/>
    <cellStyle name="20% - 强调文字颜色 5 3 4 2" xfId="3917"/>
    <cellStyle name="输出 11 6" xfId="3918"/>
    <cellStyle name="强调文字颜色 5 8 3 2 2" xfId="3919"/>
    <cellStyle name="20% - 强调文字颜色 4 4 2 2 2 2" xfId="3920"/>
    <cellStyle name="20% - 强调文字颜色 5 3 4 2 2" xfId="3921"/>
    <cellStyle name="强调文字颜色 5 8 3 3" xfId="3922"/>
    <cellStyle name="20% - 强调文字颜色 4 4 2 2 3" xfId="3923"/>
    <cellStyle name="20% - 强调文字颜色 5 3 4 3" xfId="3924"/>
    <cellStyle name="强调文字颜色 5 8 4" xfId="3925"/>
    <cellStyle name="20% - 强调文字颜色 4 4 2 3" xfId="3926"/>
    <cellStyle name="20% - 强调文字颜色 5 3 5" xfId="3927"/>
    <cellStyle name="强调文字颜色 5 8 4 2" xfId="3928"/>
    <cellStyle name="20% - 强调文字颜色 4 4 2 3 2" xfId="3929"/>
    <cellStyle name="20% - 强调文字颜色 5 3 5 2" xfId="3930"/>
    <cellStyle name="强调文字颜色 5 8 5" xfId="3931"/>
    <cellStyle name="20% - 强调文字颜色 4 4 2 4" xfId="3932"/>
    <cellStyle name="标题 1 5 2 2 2" xfId="3933"/>
    <cellStyle name="20% - 强调文字颜色 5 3 6" xfId="3934"/>
    <cellStyle name="解释性文本 2 2" xfId="3935"/>
    <cellStyle name="40% - 强调文字颜色 2 3 2 3 2" xfId="3936"/>
    <cellStyle name="强调文字颜色 5 8 6" xfId="3937"/>
    <cellStyle name="20% - 强调文字颜色 4 4 2 5" xfId="3938"/>
    <cellStyle name="标题 1 5 2 2 3" xfId="3939"/>
    <cellStyle name="20% - 强调文字颜色 5 3 7" xfId="3940"/>
    <cellStyle name="20% - 强调文字颜色 4 4 3" xfId="3941"/>
    <cellStyle name="20% - 强调文字颜色 5 12 2 5" xfId="3942"/>
    <cellStyle name="20% - 强调文字颜色 6 7 2 2 2" xfId="3943"/>
    <cellStyle name="40% - 强调文字颜色 1 8 3 2 3" xfId="3944"/>
    <cellStyle name="强调文字颜色 5 9 3" xfId="3945"/>
    <cellStyle name="20% - 强调文字颜色 4 4 3 2" xfId="3946"/>
    <cellStyle name="20% - 强调文字颜色 5 4 4" xfId="3947"/>
    <cellStyle name="20% - 强调文字颜色 6 7 2 2 2 2" xfId="3948"/>
    <cellStyle name="20% - 强调文字颜色 6 7 3 2 3" xfId="3949"/>
    <cellStyle name="强调文字颜色 5 9 3 2" xfId="3950"/>
    <cellStyle name="20% - 强调文字颜色 4 4 3 2 2" xfId="3951"/>
    <cellStyle name="20% - 强调文字颜色 5 4 4 2" xfId="3952"/>
    <cellStyle name="注释 5 6 5" xfId="3953"/>
    <cellStyle name="强调文字颜色 5 9 3 2 2" xfId="3954"/>
    <cellStyle name="20% - 强调文字颜色 4 4 3 2 2 2" xfId="3955"/>
    <cellStyle name="20% - 强调文字颜色 5 4 4 2 2" xfId="3956"/>
    <cellStyle name="强调文字颜色 5 9 3 3" xfId="3957"/>
    <cellStyle name="20% - 强调文字颜色 4 4 3 2 3" xfId="3958"/>
    <cellStyle name="20% - 强调文字颜色 5 4 4 3" xfId="3959"/>
    <cellStyle name="强调文字颜色 5 9 4" xfId="3960"/>
    <cellStyle name="20% - 强调文字颜色 4 4 3 3" xfId="3961"/>
    <cellStyle name="20% - 强调文字颜色 5 4 5" xfId="3962"/>
    <cellStyle name="强调文字颜色 5 9 4 2" xfId="3963"/>
    <cellStyle name="20% - 强调文字颜色 4 4 3 3 2" xfId="3964"/>
    <cellStyle name="20% - 强调文字颜色 5 4 5 2" xfId="3965"/>
    <cellStyle name="强调文字颜色 5 9 5" xfId="3966"/>
    <cellStyle name="20% - 强调文字颜色 4 4 3 4" xfId="3967"/>
    <cellStyle name="标题 1 5 2 3 2" xfId="3968"/>
    <cellStyle name="20% - 强调文字颜色 5 4 6" xfId="3969"/>
    <cellStyle name="20% - 强调文字颜色 4 4 6 2" xfId="3970"/>
    <cellStyle name="60% - 强调文字颜色 1 5 3 3" xfId="3971"/>
    <cellStyle name="20% - 强调文字颜色 5 7 4" xfId="3972"/>
    <cellStyle name="60% - 强调文字颜色 5 9 2 2 2" xfId="3973"/>
    <cellStyle name="20% - 强调文字颜色 4 4 8" xfId="3974"/>
    <cellStyle name="60% - 强调文字颜色 5 9 2 2 3" xfId="3975"/>
    <cellStyle name="20% - 强调文字颜色 4 4 9" xfId="3976"/>
    <cellStyle name="输出 8 2 4" xfId="3977"/>
    <cellStyle name="20% - 强调文字颜色 4 5 10" xfId="3978"/>
    <cellStyle name="输出 8 2 5" xfId="3979"/>
    <cellStyle name="20% - 强调文字颜色 4 5 11" xfId="3980"/>
    <cellStyle name="20% - 强调文字颜色 4 5 2" xfId="3981"/>
    <cellStyle name="20% - 强调文字颜色 5 12 3 4" xfId="3982"/>
    <cellStyle name="40% - 强调文字颜色 1 8 3 3 2" xfId="3983"/>
    <cellStyle name="强调文字颜色 6 8 3" xfId="3984"/>
    <cellStyle name="20% - 强调文字颜色 4 5 2 2" xfId="3985"/>
    <cellStyle name="Header2 2 2 2 2 7" xfId="3986"/>
    <cellStyle name="20% - 强调文字颜色 6 3 4" xfId="3987"/>
    <cellStyle name="强调文字颜色 6 8 3 2" xfId="3988"/>
    <cellStyle name="20% - 强调文字颜色 4 5 2 2 2" xfId="3989"/>
    <cellStyle name="Header2 2 2 2 2 7 2" xfId="3990"/>
    <cellStyle name="20% - 强调文字颜色 6 3 4 2" xfId="3991"/>
    <cellStyle name="强调文字颜色 6 8 3 2 2" xfId="3992"/>
    <cellStyle name="强调文字颜色 4 13 5" xfId="3993"/>
    <cellStyle name="20% - 强调文字颜色 4 5 2 2 2 2" xfId="3994"/>
    <cellStyle name="Header2 2 2 2 2 7 2 2" xfId="3995"/>
    <cellStyle name="20% - 强调文字颜色 6 3 4 2 2" xfId="3996"/>
    <cellStyle name="强调文字颜色 6 8 3 3" xfId="3997"/>
    <cellStyle name="20% - 强调文字颜色 4 5 2 2 3" xfId="3998"/>
    <cellStyle name="Header2 2 2 2 2 7 3" xfId="3999"/>
    <cellStyle name="20% - 强调文字颜色 6 3 4 3" xfId="4000"/>
    <cellStyle name="强调文字颜色 6 8 4 2" xfId="4001"/>
    <cellStyle name="20% - 强调文字颜色 4 5 2 3 2" xfId="4002"/>
    <cellStyle name="常规 7 4 19" xfId="4003"/>
    <cellStyle name="Header2 2 2 2 2 8 2" xfId="4004"/>
    <cellStyle name="20% - 强调文字颜色 6 3 5 2" xfId="4005"/>
    <cellStyle name="强调文字颜色 6 8 5" xfId="4006"/>
    <cellStyle name="20% - 强调文字颜色 4 5 2 4" xfId="4007"/>
    <cellStyle name="标题 1 5 3 2 2" xfId="4008"/>
    <cellStyle name="Header2 2 2 2 2 9" xfId="4009"/>
    <cellStyle name="20% - 强调文字颜色 6 3 6" xfId="4010"/>
    <cellStyle name="40% - 强调文字颜色 2 3 3 3 2" xfId="4011"/>
    <cellStyle name="强调文字颜色 6 8 6" xfId="4012"/>
    <cellStyle name="20% - 强调文字颜色 4 5 2 5" xfId="4013"/>
    <cellStyle name="20% - 强调文字颜色 6 3 7" xfId="4014"/>
    <cellStyle name="20% - 强调文字颜色 4 5 3" xfId="4015"/>
    <cellStyle name="20% - 强调文字颜色 6 7 2 3 2" xfId="4016"/>
    <cellStyle name="适中 2 6" xfId="4017"/>
    <cellStyle name="强调文字颜色 6 9 3" xfId="4018"/>
    <cellStyle name="20% - 强调文字颜色 4 5 3 2" xfId="4019"/>
    <cellStyle name="20% - 强调文字颜色 6 4 4" xfId="4020"/>
    <cellStyle name="适中 2 7" xfId="4021"/>
    <cellStyle name="强调文字颜色 6 9 4" xfId="4022"/>
    <cellStyle name="20% - 强调文字颜色 4 5 3 3" xfId="4023"/>
    <cellStyle name="20% - 强调文字颜色 6 4 5" xfId="4024"/>
    <cellStyle name="适中 2 7 2" xfId="4025"/>
    <cellStyle name="强调文字颜色 6 9 4 2" xfId="4026"/>
    <cellStyle name="20% - 强调文字颜色 4 5 3 3 2" xfId="4027"/>
    <cellStyle name="20% - 强调文字颜色 6 4 5 2" xfId="4028"/>
    <cellStyle name="适中 2 8" xfId="4029"/>
    <cellStyle name="强调文字颜色 6 9 5" xfId="4030"/>
    <cellStyle name="20% - 强调文字颜色 4 5 3 4" xfId="4031"/>
    <cellStyle name="20% - 强调文字颜色 6 4 6" xfId="4032"/>
    <cellStyle name="适中 3 6 2" xfId="4033"/>
    <cellStyle name="20% - 强调文字颜色 4 5 4 2 2" xfId="4034"/>
    <cellStyle name="20% - 强调文字颜色 6 5 4 2" xfId="4035"/>
    <cellStyle name="适中 3 7" xfId="4036"/>
    <cellStyle name="20% - 强调文字颜色 4 5 4 3" xfId="4037"/>
    <cellStyle name="20% - 强调文字颜色 6 5 5" xfId="4038"/>
    <cellStyle name="适中 4 6" xfId="4039"/>
    <cellStyle name="20% - 强调文字颜色 4 5 5 2" xfId="4040"/>
    <cellStyle name="60% - 强调文字颜色 1 6 2 3" xfId="4041"/>
    <cellStyle name="20% - 强调文字颜色 6 6 4" xfId="4042"/>
    <cellStyle name="20% - 强调文字颜色 4 5 6" xfId="4043"/>
    <cellStyle name="适中 5 6" xfId="4044"/>
    <cellStyle name="20% - 强调文字颜色 4 5 6 2" xfId="4045"/>
    <cellStyle name="60% - 强调文字颜色 1 6 3 3" xfId="4046"/>
    <cellStyle name="20% - 强调文字颜色 6 7 4" xfId="4047"/>
    <cellStyle name="20% - 强调文字颜色 4 5 7" xfId="4048"/>
    <cellStyle name="60% - 强调文字颜色 5 9 2 3 2" xfId="4049"/>
    <cellStyle name="20% - 强调文字颜色 4 5 8" xfId="4050"/>
    <cellStyle name="20% - 强调文字颜色 4 5 9" xfId="4051"/>
    <cellStyle name="40% - 强调文字颜色 1 13 4 2 2" xfId="4052"/>
    <cellStyle name="常规 8 6 2" xfId="4053"/>
    <cellStyle name="60% - 强调文字颜色 1 12 2 5" xfId="4054"/>
    <cellStyle name="20% - 强调文字颜色 4 6 10" xfId="4055"/>
    <cellStyle name="40% - 强调文字颜色 2 10 3 3" xfId="4056"/>
    <cellStyle name="20% - 强调文字颜色 4 6 11" xfId="4057"/>
    <cellStyle name="40% - 强调文字颜色 2 10 3 4" xfId="4058"/>
    <cellStyle name="40% - 强调文字颜色 6 6 5 2" xfId="4059"/>
    <cellStyle name="20% - 强调文字颜色 4 6 12" xfId="4060"/>
    <cellStyle name="60% - 强调文字颜色 1 7 9" xfId="4061"/>
    <cellStyle name="20% - 强调文字颜色 5 13 4 2 2" xfId="4062"/>
    <cellStyle name="20% - 强调文字颜色 4 6 2" xfId="4063"/>
    <cellStyle name="20% - 强调文字颜色 4 6 2 2" xfId="4064"/>
    <cellStyle name="20% - 强调文字颜色 4 6 2 2 2" xfId="4065"/>
    <cellStyle name="20% - 强调文字颜色 4 6 2 2 2 2" xfId="4066"/>
    <cellStyle name="40% - 强调文字颜色 1 8 7" xfId="4067"/>
    <cellStyle name="20% - 强调文字颜色 4 6 2 2 3" xfId="4068"/>
    <cellStyle name="20% - 强调文字颜色 4 6 2 5" xfId="4069"/>
    <cellStyle name="60% - 强调文字颜色 1 4 2 2" xfId="4070"/>
    <cellStyle name="20% - 强调文字颜色 4 6 3" xfId="4071"/>
    <cellStyle name="60% - 强调文字颜色 1 4 2 2 2" xfId="4072"/>
    <cellStyle name="20% - 强调文字颜色 4 6 3 2" xfId="4073"/>
    <cellStyle name="60% - 强调文字颜色 1 4 2 2 2 2" xfId="4074"/>
    <cellStyle name="20% - 强调文字颜色 4 6 3 2 2" xfId="4075"/>
    <cellStyle name="Header2 4 2 7" xfId="4076"/>
    <cellStyle name="20% - 强调文字颜色 4 6 3 2 2 2" xfId="4077"/>
    <cellStyle name="20% - 强调文字颜色 4 6 3 2 3" xfId="4078"/>
    <cellStyle name="20% - 强调文字颜色 4 6 3 3 2" xfId="4079"/>
    <cellStyle name="60% - 强调文字颜色 1 4 2 3 2" xfId="4080"/>
    <cellStyle name="20% - 强调文字颜色 4 6 4 2" xfId="4081"/>
    <cellStyle name="20% - 强调文字颜色 4 6 4 2 2" xfId="4082"/>
    <cellStyle name="20% - 强调文字颜色 4 6 4 3" xfId="4083"/>
    <cellStyle name="60% - 强调文字颜色 1 4 2 4" xfId="4084"/>
    <cellStyle name="20% - 强调文字颜色 4 6 5" xfId="4085"/>
    <cellStyle name="60% - 强调文字颜色 1 4 2 5" xfId="4086"/>
    <cellStyle name="20% - 强调文字颜色 4 6 6" xfId="4087"/>
    <cellStyle name="20% - 强调文字颜色 4 6 6 2" xfId="4088"/>
    <cellStyle name="20% - 强调文字颜色 4 6 7" xfId="4089"/>
    <cellStyle name="20% - 强调文字颜色 4 6 8" xfId="4090"/>
    <cellStyle name="20% - 强调文字颜色 4 6 9" xfId="4091"/>
    <cellStyle name="20% - 强调文字颜色 4 7" xfId="4092"/>
    <cellStyle name="20% - 强调文字颜色 4 7 10" xfId="4093"/>
    <cellStyle name="20% - 强调文字颜色 4 7 11" xfId="4094"/>
    <cellStyle name="20% - 强调文字颜色 4 7 12" xfId="4095"/>
    <cellStyle name="20% - 强调文字颜色 5 6 5 2" xfId="4096"/>
    <cellStyle name="20% - 强调文字颜色 4 7 2" xfId="4097"/>
    <cellStyle name="20% - 强调文字颜色 4 7 2 2" xfId="4098"/>
    <cellStyle name="20% - 强调文字颜色 4 7 2 2 2" xfId="4099"/>
    <cellStyle name="20% - 强调文字颜色 4 7 2 2 2 2" xfId="4100"/>
    <cellStyle name="60% - 强调文字颜色 6 2 2 5" xfId="4101"/>
    <cellStyle name="输出 12" xfId="4102"/>
    <cellStyle name="20% - 强调文字颜色 4 7 2 2 3" xfId="4103"/>
    <cellStyle name="20% - 强调文字颜色 4 7 2 3" xfId="4104"/>
    <cellStyle name="20% - 强调文字颜色 4 7 2 3 2" xfId="4105"/>
    <cellStyle name="20% - 强调文字颜色 4 7 2 4" xfId="4106"/>
    <cellStyle name="20% - 强调文字颜色 4 7 2 5" xfId="4107"/>
    <cellStyle name="20% - 强调文字颜色 4 7 3" xfId="4108"/>
    <cellStyle name="60% - 强调文字颜色 1 4 3 2" xfId="4109"/>
    <cellStyle name="20% - 强调文字颜色 4 7 3 2" xfId="4110"/>
    <cellStyle name="60% - 强调文字颜色 1 4 3 2 2" xfId="4111"/>
    <cellStyle name="20% - 强调文字颜色 4 7 3 2 2" xfId="4112"/>
    <cellStyle name="60% - 强调文字颜色 1 4 3 2 2 2" xfId="4113"/>
    <cellStyle name="20% - 强调文字颜色 4 7 3 2 2 2" xfId="4114"/>
    <cellStyle name="20% - 强调文字颜色 6 5 2 2 2 2" xfId="4115"/>
    <cellStyle name="60% - 强调文字颜色 5 4 11" xfId="4116"/>
    <cellStyle name="20% - 强调文字颜色 4 7 3 2 3" xfId="4117"/>
    <cellStyle name="20% - 强调文字颜色 4 7 3 3" xfId="4118"/>
    <cellStyle name="60% - 强调文字颜色 1 4 3 2 3" xfId="4119"/>
    <cellStyle name="20% - 强调文字颜色 4 7 3 3 2" xfId="4120"/>
    <cellStyle name="20% - 强调文字颜色 4 7 3 4" xfId="4121"/>
    <cellStyle name="20% - 强调文字颜色 4 7 4 2" xfId="4122"/>
    <cellStyle name="60% - 强调文字颜色 1 4 3 3 2" xfId="4123"/>
    <cellStyle name="20% - 强调文字颜色 4 7 4 2 2" xfId="4124"/>
    <cellStyle name="20% - 强调文字颜色 4 7 4 3" xfId="4125"/>
    <cellStyle name="20% - 强调文字颜色 4 7 5" xfId="4126"/>
    <cellStyle name="60% - 强调文字颜色 1 4 3 4" xfId="4127"/>
    <cellStyle name="20% - 强调文字颜色 6 13" xfId="4128"/>
    <cellStyle name="20% - 强调文字颜色 4 7 5 2" xfId="4129"/>
    <cellStyle name="20% - 强调文字颜色 4 7 6" xfId="4130"/>
    <cellStyle name="20% - 强调文字颜色 4 7 6 2" xfId="4131"/>
    <cellStyle name="20% - 强调文字颜色 4 7 7" xfId="4132"/>
    <cellStyle name="20% - 强调文字颜色 4 7 8" xfId="4133"/>
    <cellStyle name="20% - 强调文字颜色 4 7 9" xfId="4134"/>
    <cellStyle name="20% - 强调文字颜色 4 8" xfId="4135"/>
    <cellStyle name="20% - 强调文字颜色 4 8 10" xfId="4136"/>
    <cellStyle name="20% - 强调文字颜色 4 8 2" xfId="4137"/>
    <cellStyle name="千位分隔 5 2 2 2 6" xfId="4138"/>
    <cellStyle name="20% - 强调文字颜色 4 8 2 2" xfId="4139"/>
    <cellStyle name="20% - 强调文字颜色 4 8 2 2 2" xfId="4140"/>
    <cellStyle name="标题 3 10" xfId="4141"/>
    <cellStyle name="注释 9 2 6" xfId="4142"/>
    <cellStyle name="20% - 强调文字颜色 4 8 2 2 3" xfId="4143"/>
    <cellStyle name="标题 3 11" xfId="4144"/>
    <cellStyle name="20% - 强调文字颜色 4 8 2 3" xfId="4145"/>
    <cellStyle name="20% - 强调文字颜色 4 8 2 3 2" xfId="4146"/>
    <cellStyle name="20% - 强调文字颜色 4 8 2 4" xfId="4147"/>
    <cellStyle name="20% - 强调文字颜色 4 8 3" xfId="4148"/>
    <cellStyle name="60% - 强调文字颜色 1 4 4 2" xfId="4149"/>
    <cellStyle name="千位分隔 5 2 2 2 7" xfId="4150"/>
    <cellStyle name="20% - 强调文字颜色 4 8 3 2" xfId="4151"/>
    <cellStyle name="60% - 强调文字颜色 1 4 4 2 2" xfId="4152"/>
    <cellStyle name="20% - 强调文字颜色 4 8 3 2 2" xfId="4153"/>
    <cellStyle name="20% - 强调文字颜色 5 12 10" xfId="4154"/>
    <cellStyle name="20% - 强调文字颜色 4 8 3 2 2 2" xfId="4155"/>
    <cellStyle name="20% - 强调文字颜色 6 5 3 2 2 2" xfId="4156"/>
    <cellStyle name="20% - 强调文字颜色 4 8 3 2 3" xfId="4157"/>
    <cellStyle name="40% - 强调文字颜色 1 14 2 2 2" xfId="4158"/>
    <cellStyle name="强调文字颜色 3 10 2 4" xfId="4159"/>
    <cellStyle name="20% - 强调文字颜色 4 8 3 3" xfId="4160"/>
    <cellStyle name="20% - 强调文字颜色 4 8 3 3 2" xfId="4161"/>
    <cellStyle name="20% - 强调文字颜色 4 8 3 4" xfId="4162"/>
    <cellStyle name="20% - 强调文字颜色 4 8 4" xfId="4163"/>
    <cellStyle name="60% - 强调文字颜色 1 4 4 3" xfId="4164"/>
    <cellStyle name="20% - 强调文字颜色 4 8 4 2" xfId="4165"/>
    <cellStyle name="20% - 强调文字颜色 4 8 4 2 2" xfId="4166"/>
    <cellStyle name="20% - 强调文字颜色 4 8 4 3" xfId="4167"/>
    <cellStyle name="20% - 强调文字颜色 4 8 5" xfId="4168"/>
    <cellStyle name="20% - 强调文字颜色 4 8 5 2" xfId="4169"/>
    <cellStyle name="20% - 强调文字颜色 4 8 6" xfId="4170"/>
    <cellStyle name="20% - 强调文字颜色 4 8 6 2" xfId="4171"/>
    <cellStyle name="20% - 强调文字颜色 4 8 8" xfId="4172"/>
    <cellStyle name="20% - 强调文字颜色 4 8 9" xfId="4173"/>
    <cellStyle name="20% - 强调文字颜色 4 9" xfId="4174"/>
    <cellStyle name="40% - 强调文字颜色 3 10 6 2" xfId="4175"/>
    <cellStyle name="20% - 强调文字颜色 4 9 10" xfId="4176"/>
    <cellStyle name="样式 1 2 2 4" xfId="4177"/>
    <cellStyle name="20% - 强调文字颜色 4 9 11" xfId="4178"/>
    <cellStyle name="样式 1 2 2 5" xfId="4179"/>
    <cellStyle name="20% - 强调文字颜色 4 9 12" xfId="4180"/>
    <cellStyle name="样式 1 2 2 6" xfId="4181"/>
    <cellStyle name="20% - 强调文字颜色 4 9 2" xfId="4182"/>
    <cellStyle name="20% - 强调文字颜色 4 9 2 2 2" xfId="4183"/>
    <cellStyle name="20% - 强调文字颜色 4 9 2 2 2 2" xfId="4184"/>
    <cellStyle name="强调文字颜色 3 10 10" xfId="4185"/>
    <cellStyle name="强调文字颜色 5 6 3 3" xfId="4186"/>
    <cellStyle name="20% - 强调文字颜色 5 2 10" xfId="4187"/>
    <cellStyle name="常规 18 3 2 2 5" xfId="4188"/>
    <cellStyle name="20% - 强调文字颜色 4 9 2 2 3" xfId="4189"/>
    <cellStyle name="20% - 强调文字颜色 4 9 2 3 2" xfId="4190"/>
    <cellStyle name="20% - 强调文字颜色 4 9 2 5" xfId="4191"/>
    <cellStyle name="20% - 强调文字颜色 4 9 3" xfId="4192"/>
    <cellStyle name="60% - 强调文字颜色 1 4 5 2" xfId="4193"/>
    <cellStyle name="20% - 强调文字颜色 4 9 3 2" xfId="4194"/>
    <cellStyle name="20% - 强调文字颜色 4 9 3 2 2" xfId="4195"/>
    <cellStyle name="20% - 强调文字颜色 6 8 8" xfId="4196"/>
    <cellStyle name="20% - 强调文字颜色 4 9 3 2 2 2" xfId="4197"/>
    <cellStyle name="Header2 4 2 11" xfId="4198"/>
    <cellStyle name="强调文字颜色 4 10 10" xfId="4199"/>
    <cellStyle name="强调文字颜色 6 6 3 3" xfId="4200"/>
    <cellStyle name="20% - 强调文字颜色 5 7 10" xfId="4201"/>
    <cellStyle name="20% - 强调文字颜色 4 9 3 2 3" xfId="4202"/>
    <cellStyle name="20% - 强调文字颜色 4 9 3 3" xfId="4203"/>
    <cellStyle name="20% - 强调文字颜色 4 9 3 3 2" xfId="4204"/>
    <cellStyle name="常规 5 2 12" xfId="4205"/>
    <cellStyle name="20% - 强调文字颜色 4 9 3 4" xfId="4206"/>
    <cellStyle name="20% - 强调文字颜色 4 9 4" xfId="4207"/>
    <cellStyle name="20% - 强调文字颜色 4 9 4 2" xfId="4208"/>
    <cellStyle name="20% - 强调文字颜色 4 9 4 2 2" xfId="4209"/>
    <cellStyle name="20% - 强调文字颜色 4 9 4 3" xfId="4210"/>
    <cellStyle name="20% - 强调文字颜色 4 9 5" xfId="4211"/>
    <cellStyle name="20% - 强调文字颜色 4 9 5 2" xfId="4212"/>
    <cellStyle name="20% - 强调文字颜色 4 9 6" xfId="4213"/>
    <cellStyle name="20% - 强调文字颜色 4 9 6 2" xfId="4214"/>
    <cellStyle name="20% - 强调文字颜色 4 9 7" xfId="4215"/>
    <cellStyle name="20% - 强调文字颜色 4 9 8" xfId="4216"/>
    <cellStyle name="20% - 强调文字颜色 4 9 9" xfId="4217"/>
    <cellStyle name="20% - 强调文字颜色 5 10" xfId="4218"/>
    <cellStyle name="链接单元格 6 2 2 2" xfId="4219"/>
    <cellStyle name="20% - 强调文字颜色 5 10 2" xfId="4220"/>
    <cellStyle name="40% - 强调文字颜色 3 4 5" xfId="4221"/>
    <cellStyle name="40% - 强调文字颜色 6 11 2 2" xfId="4222"/>
    <cellStyle name="40% - 强调文字颜色 3 2 2 2 3" xfId="4223"/>
    <cellStyle name="计算 10 2 4" xfId="4224"/>
    <cellStyle name="注释 5 8" xfId="4225"/>
    <cellStyle name="20% - 强调文字颜色 5 10 2 2" xfId="4226"/>
    <cellStyle name="40% - 强调文字颜色 3 4 5 2" xfId="4227"/>
    <cellStyle name="40% - 强调文字颜色 6 11 2 2 2" xfId="4228"/>
    <cellStyle name="40% - 强调文字颜色 3 2 2 2 3 2" xfId="4229"/>
    <cellStyle name="20% - 强调文字颜色 5 10 2 2 2" xfId="4230"/>
    <cellStyle name="20% - 强调文字颜色 5 10 2 2 2 2" xfId="4231"/>
    <cellStyle name="60% - 强调文字颜色 6 2 2 4" xfId="4232"/>
    <cellStyle name="输出 11" xfId="4233"/>
    <cellStyle name="20% - 强调文字颜色 5 10 2 2 3" xfId="4234"/>
    <cellStyle name="差_账龄分析2 2 3 2" xfId="4235"/>
    <cellStyle name="40% - 强调文字颜色 3 4 6 2" xfId="4236"/>
    <cellStyle name="40% - 强调文字颜色 6 11 2 3 2" xfId="4237"/>
    <cellStyle name="20% - 强调文字颜色 5 10 2 3 2" xfId="4238"/>
    <cellStyle name="20% - 强调文字颜色 5 10 3" xfId="4239"/>
    <cellStyle name="千位分隔[0] 2 4 2" xfId="4240"/>
    <cellStyle name="40% - 强调文字颜色 3 5 5 2" xfId="4241"/>
    <cellStyle name="40% - 强调文字颜色 6 11 3 2 2" xfId="4242"/>
    <cellStyle name="20% - 强调文字颜色 6 2 10" xfId="4243"/>
    <cellStyle name="20% - 强调文字颜色 5 10 3 2 2" xfId="4244"/>
    <cellStyle name="20% - 强调文字颜色 5 10 3 2 2 2" xfId="4245"/>
    <cellStyle name="40% - 强调文字颜色 3 5 6 2" xfId="4246"/>
    <cellStyle name="40% - 强调文字颜色 6 11 3 3 2" xfId="4247"/>
    <cellStyle name="20% - 强调文字颜色 5 10 3 3 2" xfId="4248"/>
    <cellStyle name="40% - 强调文字颜色 3 6 5 2" xfId="4249"/>
    <cellStyle name="40% - 强调文字颜色 6 11 4 2 2" xfId="4250"/>
    <cellStyle name="20% - 强调文字颜色 6 7 10" xfId="4251"/>
    <cellStyle name="20% - 强调文字颜色 5 10 4 2 2" xfId="4252"/>
    <cellStyle name="40% - 强调文字颜色 3 6 6" xfId="4253"/>
    <cellStyle name="40% - 强调文字颜色 6 11 4 3" xfId="4254"/>
    <cellStyle name="20% - 强调文字颜色 5 10 4 3" xfId="4255"/>
    <cellStyle name="20% - 强调文字颜色 5 10 9" xfId="4256"/>
    <cellStyle name="20% - 强调文字颜色 6 2 2 3 3" xfId="4257"/>
    <cellStyle name="40% - 强调文字颜色 6 12 10" xfId="4258"/>
    <cellStyle name="注释 8 3 4" xfId="4259"/>
    <cellStyle name="20% - 强调文字颜色 5 11 10" xfId="4260"/>
    <cellStyle name="20% - 强调文字颜色 5 11 11" xfId="4261"/>
    <cellStyle name="60% - 强调文字颜色 6 3 2 2" xfId="4262"/>
    <cellStyle name="20% - 强调文字颜色 5 11 12" xfId="4263"/>
    <cellStyle name="60% - 强调文字颜色 6 3 2 3" xfId="4264"/>
    <cellStyle name="强调文字颜色 1 12 4 2" xfId="4265"/>
    <cellStyle name="20% - 强调文字颜色 5 11 2" xfId="4266"/>
    <cellStyle name="强调文字颜色 1 12 10" xfId="4267"/>
    <cellStyle name="40% - 强调文字颜色 3 2 3 2 3" xfId="4268"/>
    <cellStyle name="计算 11 2 4" xfId="4269"/>
    <cellStyle name="20% - 强调文字颜色 5 11 2 2" xfId="4270"/>
    <cellStyle name="20% - 强调文字颜色 5 11 2 2 2" xfId="4271"/>
    <cellStyle name="20% - 强调文字颜色 5 11 2 2 2 2" xfId="4272"/>
    <cellStyle name="20% - 强调文字颜色 5 11 2 2 3" xfId="4273"/>
    <cellStyle name="20% - 强调文字颜色 5 11 2 3 2" xfId="4274"/>
    <cellStyle name="差 13 2 3" xfId="4275"/>
    <cellStyle name="20% - 强调文字颜色 5 11 3" xfId="4276"/>
    <cellStyle name="千位分隔[0] 2 5 2" xfId="4277"/>
    <cellStyle name="强调文字颜色 1 12 11" xfId="4278"/>
    <cellStyle name="20% - 强调文字颜色 5 11 3 2 2" xfId="4279"/>
    <cellStyle name="20% - 强调文字颜色 5 11 3 2 2 2" xfId="4280"/>
    <cellStyle name="20% - 强调文字颜色 5 11 3 3 2" xfId="4281"/>
    <cellStyle name="差 14 2 3" xfId="4282"/>
    <cellStyle name="20% - 强调文字颜色 5 11 4" xfId="4283"/>
    <cellStyle name="强调文字颜色 1 12 12" xfId="4284"/>
    <cellStyle name="20% - 强调文字颜色 5 11 4 2 2" xfId="4285"/>
    <cellStyle name="20% - 强调文字颜色 5 11 4 3" xfId="4286"/>
    <cellStyle name="20% - 强调文字颜色 5 13 2 2 2" xfId="4287"/>
    <cellStyle name="注释 13 6 4" xfId="4288"/>
    <cellStyle name="20% - 强调文字颜色 5 11 8" xfId="4289"/>
    <cellStyle name="标题 2 11 2 3" xfId="4290"/>
    <cellStyle name="20% - 强调文字颜色 5 13 2 2 3" xfId="4291"/>
    <cellStyle name="注释 13 6 5" xfId="4292"/>
    <cellStyle name="20% - 强调文字颜色 5 11 9" xfId="4293"/>
    <cellStyle name="标题 2 11 2 4" xfId="4294"/>
    <cellStyle name="20% - 强调文字颜色 5 12" xfId="4295"/>
    <cellStyle name="20% - 强调文字颜色 5 12 11" xfId="4296"/>
    <cellStyle name="20% - 强调文字颜色 5 12 12" xfId="4297"/>
    <cellStyle name="20% - 强调文字颜色 5 12 2" xfId="4298"/>
    <cellStyle name="40% - 强调文字颜色 3 2 4 2 3" xfId="4299"/>
    <cellStyle name="计算 12 2 4" xfId="4300"/>
    <cellStyle name="20% - 强调文字颜色 5 12 2 2" xfId="4301"/>
    <cellStyle name="40% - 强调文字颜色 1 12 8" xfId="4302"/>
    <cellStyle name="20% - 强调文字颜色 5 12 2 2 2" xfId="4303"/>
    <cellStyle name="强调文字颜色 5 6 3" xfId="4304"/>
    <cellStyle name="20% - 强调文字颜色 5 12 2 2 2 2" xfId="4305"/>
    <cellStyle name="强调文字颜色 5 6 3 2" xfId="4306"/>
    <cellStyle name="40% - 强调文字颜色 1 13 8" xfId="4307"/>
    <cellStyle name="20% - 强调文字颜色 5 2 4" xfId="4308"/>
    <cellStyle name="20% - 强调文字颜色 5 12 2 3 2" xfId="4309"/>
    <cellStyle name="强调文字颜色 5 7 3" xfId="4310"/>
    <cellStyle name="20% - 强调文字颜色 5 12 3" xfId="4311"/>
    <cellStyle name="千位分隔[0] 2 6 2" xfId="4312"/>
    <cellStyle name="20% - 强调文字颜色 5 12 3 2 2" xfId="4313"/>
    <cellStyle name="强调文字颜色 6 6 3" xfId="4314"/>
    <cellStyle name="20% - 强调文字颜色 6 8 7" xfId="4315"/>
    <cellStyle name="20% - 强调文字颜色 5 12 3 2 2 2" xfId="4316"/>
    <cellStyle name="Header2 4 2 10" xfId="4317"/>
    <cellStyle name="强调文字颜色 6 6 3 2" xfId="4318"/>
    <cellStyle name="20% - 强调文字颜色 5 12 3 2 3" xfId="4319"/>
    <cellStyle name="强调文字颜色 6 6 4" xfId="4320"/>
    <cellStyle name="20% - 强调文字颜色 6 2 4" xfId="4321"/>
    <cellStyle name="20% - 强调文字颜色 5 12 3 3 2" xfId="4322"/>
    <cellStyle name="强调文字颜色 6 7 3" xfId="4323"/>
    <cellStyle name="40% - 强调文字颜色 1 14" xfId="4324"/>
    <cellStyle name="20% - 强调文字颜色 5 12 4 2 2" xfId="4325"/>
    <cellStyle name="20% - 强调文字颜色 5 12 4 3" xfId="4326"/>
    <cellStyle name="注释 2 2 6" xfId="4327"/>
    <cellStyle name="20% - 强调文字颜色 5 12 6 2" xfId="4328"/>
    <cellStyle name="千位分隔 5 2 2 2 4" xfId="4329"/>
    <cellStyle name="注释 2 4 5" xfId="4330"/>
    <cellStyle name="20% - 强调文字颜色 5 12 7" xfId="4331"/>
    <cellStyle name="标题 2 11 3 2" xfId="4332"/>
    <cellStyle name="20% - 强调文字颜色 5 13 2 3 2" xfId="4333"/>
    <cellStyle name="20% - 强调文字颜色 5 12 8" xfId="4334"/>
    <cellStyle name="标题 2 11 3 3" xfId="4335"/>
    <cellStyle name="20% - 强调文字颜色 5 12 9" xfId="4336"/>
    <cellStyle name="20% - 强调文字颜色 5 13" xfId="4337"/>
    <cellStyle name="20% - 强调文字颜色 5 13 2" xfId="4338"/>
    <cellStyle name="20% - 强调文字颜色 5 13 2 2" xfId="4339"/>
    <cellStyle name="20% - 强调文字颜色 5 13 2 2 2 2" xfId="4340"/>
    <cellStyle name="20% - 强调文字颜色 6 7 3 2 2" xfId="4341"/>
    <cellStyle name="60% - 强调文字颜色 1 6 3 2 2 2" xfId="4342"/>
    <cellStyle name="20% - 强调文字颜色 5 4 3" xfId="4343"/>
    <cellStyle name="20% - 强调文字颜色 5 13 2 5" xfId="4344"/>
    <cellStyle name="60% - 强调文字颜色 3 2 2 2 2 3 2" xfId="4345"/>
    <cellStyle name="20% - 强调文字颜色 5 13 3" xfId="4346"/>
    <cellStyle name="20% - 强调文字颜色 5 13 3 2" xfId="4347"/>
    <cellStyle name="20% - 强调文字颜色 5 13 3 2 2" xfId="4348"/>
    <cellStyle name="20% - 强调文字颜色 5 13 3 2 3" xfId="4349"/>
    <cellStyle name="20% - 强调文字颜色 5 13 3 3" xfId="4350"/>
    <cellStyle name="20% - 强调文字颜色 5 13 3 3 2" xfId="4351"/>
    <cellStyle name="20% - 强调文字颜色 5 5 2" xfId="4352"/>
    <cellStyle name="20% - 强调文字颜色 5 13 3 4" xfId="4353"/>
    <cellStyle name="标题 3 14 2 2 2" xfId="4354"/>
    <cellStyle name="20% - 强调文字颜色 5 13 4" xfId="4355"/>
    <cellStyle name="20% - 强调文字颜色 5 13 4 3" xfId="4356"/>
    <cellStyle name="输入 10 13" xfId="4357"/>
    <cellStyle name="注释 3 2 6" xfId="4358"/>
    <cellStyle name="20% - 强调文字颜色 5 13 5 2" xfId="4359"/>
    <cellStyle name="注释 3 3 5" xfId="4360"/>
    <cellStyle name="40% - 强调文字颜色 3 2 2 5" xfId="4361"/>
    <cellStyle name="20% - 强调文字颜色 5 13 7 2" xfId="4362"/>
    <cellStyle name="标题 2 4 2 4" xfId="4363"/>
    <cellStyle name="注释 3 5 5" xfId="4364"/>
    <cellStyle name="20% - 强调文字颜色 5 4 2 2" xfId="4365"/>
    <cellStyle name="20% - 强调文字颜色 5 13 8" xfId="4366"/>
    <cellStyle name="20% - 强调文字颜色 5 4 2 3" xfId="4367"/>
    <cellStyle name="20% - 强调文字颜色 5 13 9" xfId="4368"/>
    <cellStyle name="千位分隔 2 2 10" xfId="4369"/>
    <cellStyle name="20% - 强调文字颜色 5 14 2" xfId="4370"/>
    <cellStyle name="20% - 强调文字颜色 5 14 2 2" xfId="4371"/>
    <cellStyle name="Header2 2 2 2 3 3" xfId="4372"/>
    <cellStyle name="20% - 强调文字颜色 5 14 2 2 2" xfId="4373"/>
    <cellStyle name="Header2 2 2 2 3 3 2" xfId="4374"/>
    <cellStyle name="20% - 强调文字颜色 5 14 3 2" xfId="4375"/>
    <cellStyle name="Header2 2 2 2 4 3" xfId="4376"/>
    <cellStyle name="20% - 强调文字颜色 5 14 4" xfId="4377"/>
    <cellStyle name="20% - 强调文字颜色 5 15" xfId="4378"/>
    <cellStyle name="20% - 强调文字颜色 5 15 2" xfId="4379"/>
    <cellStyle name="20% - 强调文字颜色 5 15 3" xfId="4380"/>
    <cellStyle name="20% - 强调文字颜色 5 16" xfId="4381"/>
    <cellStyle name="常规 14 2 2" xfId="4382"/>
    <cellStyle name="20% - 强调文字颜色 5 16 2" xfId="4383"/>
    <cellStyle name="常规 14 2 2 2" xfId="4384"/>
    <cellStyle name="强调文字颜色 1 13 10" xfId="4385"/>
    <cellStyle name="20% - 强调文字颜色 5 17" xfId="4386"/>
    <cellStyle name="40% - 强调文字颜色 1 12 2 3" xfId="4387"/>
    <cellStyle name="20% - 强调文字颜色 5 2" xfId="4388"/>
    <cellStyle name="20% - 强调文字颜色 5 2 11" xfId="4389"/>
    <cellStyle name="常规 18 3 2 2 6" xfId="4390"/>
    <cellStyle name="20% - 强调文字颜色 5 2 12" xfId="4391"/>
    <cellStyle name="常规 18 3 2 2 7" xfId="4392"/>
    <cellStyle name="40% - 强调文字颜色 2 8" xfId="4393"/>
    <cellStyle name="20% - 强调文字颜色 5 2 2 3" xfId="4394"/>
    <cellStyle name="40% - 强调文字颜色 2 8 2 2" xfId="4395"/>
    <cellStyle name="20% - 强调文字颜色 5 2 2 3 2 2" xfId="4396"/>
    <cellStyle name="标题 1 3 2" xfId="4397"/>
    <cellStyle name="40% - 强调文字颜色 2 9" xfId="4398"/>
    <cellStyle name="20% - 强调文字颜色 5 2 2 4" xfId="4399"/>
    <cellStyle name="60% - 强调文字颜色 4 13 7 2" xfId="4400"/>
    <cellStyle name="40% - 强调文字颜色 2 9 2" xfId="4401"/>
    <cellStyle name="20% - 强调文字颜色 5 2 2 4 2" xfId="4402"/>
    <cellStyle name="标题 2 3" xfId="4403"/>
    <cellStyle name="20% - 强调文字颜色 5 2 2 5" xfId="4404"/>
    <cellStyle name="40% - 强调文字颜色 1 10 3 2 2" xfId="4405"/>
    <cellStyle name="20% - 强调文字颜色 5 2 2 6" xfId="4406"/>
    <cellStyle name="40% - 强调文字颜色 1 13 7" xfId="4407"/>
    <cellStyle name="Header2 4 4 2 2" xfId="4408"/>
    <cellStyle name="20% - 强调文字颜色 5 2 3" xfId="4409"/>
    <cellStyle name="40% - 强调文字颜色 3 7" xfId="4410"/>
    <cellStyle name="40% - 强调文字颜色 1 13 7 2" xfId="4411"/>
    <cellStyle name="20% - 强调文字颜色 5 2 3 2" xfId="4412"/>
    <cellStyle name="40% - 强调文字颜色 3 8" xfId="4413"/>
    <cellStyle name="20% - 强调文字颜色 5 2 3 3" xfId="4414"/>
    <cellStyle name="40% - 强调文字颜色 3 9" xfId="4415"/>
    <cellStyle name="20% - 强调文字颜色 5 2 3 4" xfId="4416"/>
    <cellStyle name="20% - 强调文字颜色 5 2 3 5" xfId="4417"/>
    <cellStyle name="20% - 强调文字颜色 5 2 4 2" xfId="4418"/>
    <cellStyle name="常规 7 4 2 2 3" xfId="4419"/>
    <cellStyle name="强调文字颜色 2 9 11" xfId="4420"/>
    <cellStyle name="20% - 强调文字颜色 5 2 4 3" xfId="4421"/>
    <cellStyle name="常规 7 4 2 2 4" xfId="4422"/>
    <cellStyle name="强调文字颜色 2 9 12" xfId="4423"/>
    <cellStyle name="20% - 强调文字颜色 5 2 4 4" xfId="4424"/>
    <cellStyle name="常规 7 4 2 2 5" xfId="4425"/>
    <cellStyle name="20% - 强调文字颜色 5 2 4 5" xfId="4426"/>
    <cellStyle name="常规 7 4 2 2 6" xfId="4427"/>
    <cellStyle name="警告文本 4 2 2 2" xfId="4428"/>
    <cellStyle name="40% - 强调文字颜色 1 13 9" xfId="4429"/>
    <cellStyle name="20% - 强调文字颜色 5 2 5" xfId="4430"/>
    <cellStyle name="20% - 强调文字颜色 5 6 10" xfId="4431"/>
    <cellStyle name="20% - 强调文字颜色 5 2 5 2 2" xfId="4432"/>
    <cellStyle name="40% - 强调文字颜色 2 3 2 2 2" xfId="4433"/>
    <cellStyle name="20% - 强调文字颜色 5 2 6" xfId="4434"/>
    <cellStyle name="40% - 强调文字颜色 2 3 2 2 2 2" xfId="4435"/>
    <cellStyle name="20% - 强调文字颜色 5 2 6 2" xfId="4436"/>
    <cellStyle name="好 3 8" xfId="4437"/>
    <cellStyle name="40% - 强调文字颜色 2 3 2 2 3" xfId="4438"/>
    <cellStyle name="20% - 强调文字颜色 5 2 7" xfId="4439"/>
    <cellStyle name="20% - 强调文字颜色 5 2 7 2" xfId="4440"/>
    <cellStyle name="好 4 8" xfId="4441"/>
    <cellStyle name="20% - 强调文字颜色 5 2 8" xfId="4442"/>
    <cellStyle name="20% - 强调文字颜色 5 2 9" xfId="4443"/>
    <cellStyle name="20% - 强调文字颜色 5 3 10" xfId="4444"/>
    <cellStyle name="20% - 强调文字颜色 5 3 11" xfId="4445"/>
    <cellStyle name="40% - 强调文字颜色 2 2 3 5" xfId="4446"/>
    <cellStyle name="20% - 强调文字颜色 5 3 2 2 2" xfId="4447"/>
    <cellStyle name="20% - 强调文字颜色 5 3 2 2 2 2" xfId="4448"/>
    <cellStyle name="20% - 强调文字颜色 5 3 2 2 3" xfId="4449"/>
    <cellStyle name="20% - 强调文字颜色 6 13 12" xfId="4450"/>
    <cellStyle name="20% - 强调文字颜色 5 3 2 3" xfId="4451"/>
    <cellStyle name="40% - 强调文字颜色 2 2 4 5" xfId="4452"/>
    <cellStyle name="20% - 强调文字颜色 5 3 2 3 2" xfId="4453"/>
    <cellStyle name="40% - 强调文字颜色 3 13 7 2" xfId="4454"/>
    <cellStyle name="Header2 5 3" xfId="4455"/>
    <cellStyle name="强调文字颜色 5 13 5" xfId="4456"/>
    <cellStyle name="输出 8 15" xfId="4457"/>
    <cellStyle name="20% - 强调文字颜色 6 13 13" xfId="4458"/>
    <cellStyle name="20% - 强调文字颜色 5 3 2 4" xfId="4459"/>
    <cellStyle name="20% - 强调文字颜色 5 3 2 5" xfId="4460"/>
    <cellStyle name="20% - 强调文字颜色 6 8 2 2 3" xfId="4461"/>
    <cellStyle name="20% - 强调文字颜色 5 3 3 2" xfId="4462"/>
    <cellStyle name="20% - 强调文字颜色 5 3 3 2 2" xfId="4463"/>
    <cellStyle name="20% - 强调文字颜色 6 5 6" xfId="4464"/>
    <cellStyle name="20% - 强调文字颜色 5 3 3 2 2 2" xfId="4465"/>
    <cellStyle name="20% - 强调文字颜色 5 3 3 2 3" xfId="4466"/>
    <cellStyle name="20% - 强调文字颜色 5 3 3 3" xfId="4467"/>
    <cellStyle name="20% - 强调文字颜色 5 3 3 3 2" xfId="4468"/>
    <cellStyle name="20% - 强调文字颜色 5 3 3 4" xfId="4469"/>
    <cellStyle name="20% - 强调文字颜色 5 3 6 2" xfId="4470"/>
    <cellStyle name="标题 1 5 2 2 2 2" xfId="4471"/>
    <cellStyle name="20% - 强调文字颜色 5 3 8" xfId="4472"/>
    <cellStyle name="20% - 强调文字颜色 5 3 9" xfId="4473"/>
    <cellStyle name="40% - 强调文字颜色 2 4 2 2 3" xfId="4474"/>
    <cellStyle name="20% - 强调文字颜色 5 4 11" xfId="4475"/>
    <cellStyle name="20% - 强调文字颜色 5 4 12" xfId="4476"/>
    <cellStyle name="40% - 强调文字颜色 3 2 3 5" xfId="4477"/>
    <cellStyle name="20% - 强调文字颜色 5 4 2 2 2" xfId="4478"/>
    <cellStyle name="20% - 强调文字颜色 5 4 2 2 3" xfId="4479"/>
    <cellStyle name="40% - 强调文字颜色 3 2 4 5" xfId="4480"/>
    <cellStyle name="20% - 强调文字颜色 5 4 2 3 2" xfId="4481"/>
    <cellStyle name="20% - 强调文字颜色 5 4 2 5" xfId="4482"/>
    <cellStyle name="20% - 强调文字颜色 6 8 3 2 3" xfId="4483"/>
    <cellStyle name="20% - 强调文字颜色 6 7 3 2 2 2" xfId="4484"/>
    <cellStyle name="20% - 强调文字颜色 5 4 3 2" xfId="4485"/>
    <cellStyle name="20% - 强调文字颜色 5 4 3 2 2 2" xfId="4486"/>
    <cellStyle name="20% - 强调文字颜色 5 4 3 2 3" xfId="4487"/>
    <cellStyle name="20% - 强调文字颜色 5 4 3 3" xfId="4488"/>
    <cellStyle name="20% - 强调文字颜色 5 4 3 3 2" xfId="4489"/>
    <cellStyle name="20% - 强调文字颜色 5 4 3 4" xfId="4490"/>
    <cellStyle name="20% - 强调文字颜色 5 4 6 2" xfId="4491"/>
    <cellStyle name="20% - 强调文字颜色 5 4 7" xfId="4492"/>
    <cellStyle name="20% - 强调文字颜色 5 4 8" xfId="4493"/>
    <cellStyle name="60% - 强调文字颜色 5 9 3 2 2" xfId="4494"/>
    <cellStyle name="20% - 强调文字颜色 5 4 9" xfId="4495"/>
    <cellStyle name="60% - 强调文字颜色 5 9 3 2 3" xfId="4496"/>
    <cellStyle name="20% - 强调文字颜色 5 5 10" xfId="4497"/>
    <cellStyle name="好 2 3 2" xfId="4498"/>
    <cellStyle name="20% - 强调文字颜色 5 5 11" xfId="4499"/>
    <cellStyle name="好 2 3 3" xfId="4500"/>
    <cellStyle name="20% - 强调文字颜色 5 5 12" xfId="4501"/>
    <cellStyle name="好 2 3 4" xfId="4502"/>
    <cellStyle name="20% - 强调文字颜色 5 5 2 2" xfId="4503"/>
    <cellStyle name="20% - 强调文字颜色 5 5 2 2 2 2" xfId="4504"/>
    <cellStyle name="20% - 强调文字颜色 5 5 2 3" xfId="4505"/>
    <cellStyle name="20% - 强调文字颜色 5 5 2 3 2" xfId="4506"/>
    <cellStyle name="40% - 强调文字颜色 2 4 3 3 2" xfId="4507"/>
    <cellStyle name="标题 13 2" xfId="4508"/>
    <cellStyle name="20% - 强调文字颜色 5 5 2 4" xfId="4509"/>
    <cellStyle name="20% - 强调文字颜色 5 5 2 5" xfId="4510"/>
    <cellStyle name="20% - 强调文字颜色 6 7 3 3 2" xfId="4511"/>
    <cellStyle name="20% - 强调文字颜色 5 5 3" xfId="4512"/>
    <cellStyle name="20% - 强调文字颜色 5 5 3 2" xfId="4513"/>
    <cellStyle name="20% - 强调文字颜色 5 5 3 2 2" xfId="4514"/>
    <cellStyle name="20% - 强调文字颜色 5 5 3 2 2 2" xfId="4515"/>
    <cellStyle name="20% - 强调文字颜色 5 5 3 2 3" xfId="4516"/>
    <cellStyle name="20% - 强调文字颜色 5 5 3 3" xfId="4517"/>
    <cellStyle name="20% - 强调文字颜色 5 5 3 3 2" xfId="4518"/>
    <cellStyle name="20% - 强调文字颜色 5 5 3 4" xfId="4519"/>
    <cellStyle name="20% - 强调文字颜色 5 5 4 2 2" xfId="4520"/>
    <cellStyle name="20% - 强调文字颜色 5 5 4 3" xfId="4521"/>
    <cellStyle name="20% - 强调文字颜色 5 5 6" xfId="4522"/>
    <cellStyle name="20% - 强调文字颜色 5 5 6 2" xfId="4523"/>
    <cellStyle name="20% - 强调文字颜色 5 5 9" xfId="4524"/>
    <cellStyle name="20% - 强调文字颜色 5 6" xfId="4525"/>
    <cellStyle name="标题 3 14 2 3" xfId="4526"/>
    <cellStyle name="20% - 强调文字颜色 5 6 2" xfId="4527"/>
    <cellStyle name="输入 10 14" xfId="4528"/>
    <cellStyle name="20% - 强调文字颜色 5 6 2 2" xfId="4529"/>
    <cellStyle name="60% - 强调文字颜色 1 9 9" xfId="4530"/>
    <cellStyle name="20% - 强调文字颜色 5 6 2 2 2" xfId="4531"/>
    <cellStyle name="20% - 强调文字颜色 5 6 2 2 2 2" xfId="4532"/>
    <cellStyle name="20% - 强调文字颜色 5 6 2 2 3" xfId="4533"/>
    <cellStyle name="20% - 强调文字颜色 5 6 2 3" xfId="4534"/>
    <cellStyle name="20% - 强调文字颜色 5 6 2 3 2" xfId="4535"/>
    <cellStyle name="20% - 强调文字颜色 5 6 2 4" xfId="4536"/>
    <cellStyle name="20% - 强调文字颜色 5 6 2 5" xfId="4537"/>
    <cellStyle name="20% - 强调文字颜色 5 6 3" xfId="4538"/>
    <cellStyle name="60% - 强调文字颜色 1 5 2 2" xfId="4539"/>
    <cellStyle name="输入 10 15" xfId="4540"/>
    <cellStyle name="20% - 强调文字颜色 5 6 3 2" xfId="4541"/>
    <cellStyle name="60% - 强调文字颜色 1 5 2 2 2" xfId="4542"/>
    <cellStyle name="20% - 强调文字颜色 5 6 3 2 2" xfId="4543"/>
    <cellStyle name="60% - 强调文字颜色 1 5 2 2 2 2" xfId="4544"/>
    <cellStyle name="40% - 强调文字颜色 1 8 9" xfId="4545"/>
    <cellStyle name="强调文字颜色 4 4 6 2" xfId="4546"/>
    <cellStyle name="20% - 强调文字颜色 5 6 3 2 2 2" xfId="4547"/>
    <cellStyle name="20% - 强调文字颜色 5 6 3 2 3" xfId="4548"/>
    <cellStyle name="20% - 强调文字颜色 5 6 3 3 2" xfId="4549"/>
    <cellStyle name="20% - 强调文字颜色 5 6 4 2" xfId="4550"/>
    <cellStyle name="60% - 强调文字颜色 1 5 2 3 2" xfId="4551"/>
    <cellStyle name="强调文字颜色 3 4 11" xfId="4552"/>
    <cellStyle name="20% - 强调文字颜色 5 6 4 2 2" xfId="4553"/>
    <cellStyle name="20% - 强调文字颜色 5 6 4 3" xfId="4554"/>
    <cellStyle name="强调文字颜色 3 4 12" xfId="4555"/>
    <cellStyle name="20% - 强调文字颜色 5 6 5" xfId="4556"/>
    <cellStyle name="60% - 强调文字颜色 1 5 2 4" xfId="4557"/>
    <cellStyle name="40% - 强调文字颜色 1 5 10" xfId="4558"/>
    <cellStyle name="20% - 强调文字颜色 5 6 6" xfId="4559"/>
    <cellStyle name="60% - 强调文字颜色 1 5 2 5" xfId="4560"/>
    <cellStyle name="差 2 2" xfId="4561"/>
    <cellStyle name="20% - 强调文字颜色 5 6 6 2" xfId="4562"/>
    <cellStyle name="差 2 2 2" xfId="4563"/>
    <cellStyle name="20% - 强调文字颜色 5 7" xfId="4564"/>
    <cellStyle name="20% - 强调文字颜色 5 7 11" xfId="4565"/>
    <cellStyle name="20% - 强调文字颜色 5 7 12" xfId="4566"/>
    <cellStyle name="20% - 强调文字颜色 5 7 2" xfId="4567"/>
    <cellStyle name="40% - 强调文字颜色 1 9 4" xfId="4568"/>
    <cellStyle name="20% - 强调文字颜色 5 7 2 2" xfId="4569"/>
    <cellStyle name="60% - 强调文字颜色 2 9 9" xfId="4570"/>
    <cellStyle name="40% - 强调文字颜色 1 9 5" xfId="4571"/>
    <cellStyle name="20% - 强调文字颜色 5 7 2 3" xfId="4572"/>
    <cellStyle name="40% - 强调文字颜色 1 9 6" xfId="4573"/>
    <cellStyle name="20% - 强调文字颜色 5 7 2 4" xfId="4574"/>
    <cellStyle name="40% - 强调文字颜色 1 9 7" xfId="4575"/>
    <cellStyle name="20% - 强调文字颜色 5 7 2 5" xfId="4576"/>
    <cellStyle name="20% - 强调文字颜色 5 7 3" xfId="4577"/>
    <cellStyle name="60% - 强调文字颜色 1 5 3 2" xfId="4578"/>
    <cellStyle name="20% - 强调文字颜色 5 7 3 2" xfId="4579"/>
    <cellStyle name="60% - 强调文字颜色 1 5 3 2 2" xfId="4580"/>
    <cellStyle name="20% - 强调文字颜色 5 7 3 3" xfId="4581"/>
    <cellStyle name="60% - 强调文字颜色 1 5 3 2 3" xfId="4582"/>
    <cellStyle name="60% - 强调文字颜色 4 2 2 2 2 2" xfId="4583"/>
    <cellStyle name="20% - 强调文字颜色 5 7 3 4" xfId="4584"/>
    <cellStyle name="60% - 强调文字颜色 4 2 2 2 2 3" xfId="4585"/>
    <cellStyle name="20% - 强调文字颜色 5 7 4 2" xfId="4586"/>
    <cellStyle name="60% - 强调文字颜色 1 5 3 3 2" xfId="4587"/>
    <cellStyle name="强调文字颜色 3 9 11" xfId="4588"/>
    <cellStyle name="20% - 强调文字颜色 5 7 4 3" xfId="4589"/>
    <cellStyle name="60% - 强调文字颜色 4 2 2 2 3 2" xfId="4590"/>
    <cellStyle name="强调文字颜色 3 9 12" xfId="4591"/>
    <cellStyle name="20% - 强调文字颜色 5 7 5" xfId="4592"/>
    <cellStyle name="60% - 强调文字颜色 1 5 3 4" xfId="4593"/>
    <cellStyle name="20% - 强调文字颜色 5 7 5 2" xfId="4594"/>
    <cellStyle name="20% - 强调文字颜色 5 7 6" xfId="4595"/>
    <cellStyle name="差 3 2" xfId="4596"/>
    <cellStyle name="20% - 强调文字颜色 5 7 6 2" xfId="4597"/>
    <cellStyle name="差 3 2 2" xfId="4598"/>
    <cellStyle name="20% - 强调文字颜色 5 7 7" xfId="4599"/>
    <cellStyle name="差 3 3" xfId="4600"/>
    <cellStyle name="20% - 强调文字颜色 5 7 8" xfId="4601"/>
    <cellStyle name="差 3 4" xfId="4602"/>
    <cellStyle name="20% - 强调文字颜色 5 8" xfId="4603"/>
    <cellStyle name="20% - 强调文字颜色 5 8 10" xfId="4604"/>
    <cellStyle name="20% - 强调文字颜色 5 8 11" xfId="4605"/>
    <cellStyle name="20% - 强调文字颜色 5 8 2" xfId="4606"/>
    <cellStyle name="40% - 强调文字颜色 2 9 4" xfId="4607"/>
    <cellStyle name="强调文字颜色 6 13 3" xfId="4608"/>
    <cellStyle name="20% - 强调文字颜色 5 8 2 2" xfId="4609"/>
    <cellStyle name="60% - 强调文字颜色 3 9 9" xfId="4610"/>
    <cellStyle name="40% - 强调文字颜色 2 9 4 2" xfId="4611"/>
    <cellStyle name="常规 5 2 2 7" xfId="4612"/>
    <cellStyle name="强调文字颜色 6 13 3 2" xfId="4613"/>
    <cellStyle name="20% - 强调文字颜色 5 8 2 2 2" xfId="4614"/>
    <cellStyle name="40% - 强调文字颜色 2 9 4 3" xfId="4615"/>
    <cellStyle name="差 13 3 2 2" xfId="4616"/>
    <cellStyle name="常规 5 2 2 8" xfId="4617"/>
    <cellStyle name="强调文字颜色 6 13 3 3" xfId="4618"/>
    <cellStyle name="20% - 强调文字颜色 5 8 2 2 3" xfId="4619"/>
    <cellStyle name="40% - 强调文字颜色 2 9 5" xfId="4620"/>
    <cellStyle name="强调文字颜色 6 13 4" xfId="4621"/>
    <cellStyle name="20% - 强调文字颜色 5 8 2 3" xfId="4622"/>
    <cellStyle name="40% - 强调文字颜色 2 9 5 2" xfId="4623"/>
    <cellStyle name="常规 5 2 3 7" xfId="4624"/>
    <cellStyle name="强调文字颜色 6 13 4 2" xfId="4625"/>
    <cellStyle name="20% - 强调文字颜色 5 8 2 3 2" xfId="4626"/>
    <cellStyle name="40% - 强调文字颜色 2 9 6" xfId="4627"/>
    <cellStyle name="强调文字颜色 6 13 5" xfId="4628"/>
    <cellStyle name="20% - 强调文字颜色 5 8 2 4" xfId="4629"/>
    <cellStyle name="20% - 强调文字颜色 5 8 3" xfId="4630"/>
    <cellStyle name="60% - 强调文字颜色 1 5 4 2" xfId="4631"/>
    <cellStyle name="20% - 强调文字颜色 5 8 3 2" xfId="4632"/>
    <cellStyle name="60% - 强调文字颜色 1 5 4 2 2" xfId="4633"/>
    <cellStyle name="40% - 强调文字颜色 3 2 10" xfId="4634"/>
    <cellStyle name="20% - 强调文字颜色 5 8 3 2 2" xfId="4635"/>
    <cellStyle name="40% - 强调文字颜色 3 2 11" xfId="4636"/>
    <cellStyle name="20% - 强调文字颜色 6 6 3 2 2 2" xfId="4637"/>
    <cellStyle name="输出 2 7 2 2" xfId="4638"/>
    <cellStyle name="20% - 强调文字颜色 5 8 3 2 3" xfId="4639"/>
    <cellStyle name="20% - 强调文字颜色 5 8 3 3" xfId="4640"/>
    <cellStyle name="60% - 强调文字颜色 4 2 2 3 2 2" xfId="4641"/>
    <cellStyle name="20% - 强调文字颜色 5 8 3 4" xfId="4642"/>
    <cellStyle name="20% - 强调文字颜色 5 8 4" xfId="4643"/>
    <cellStyle name="60% - 强调文字颜色 1 5 4 3" xfId="4644"/>
    <cellStyle name="20% - 强调文字颜色 5 8 4 2" xfId="4645"/>
    <cellStyle name="40% - 强调文字颜色 3 7 10" xfId="4646"/>
    <cellStyle name="输出 11 10 2" xfId="4647"/>
    <cellStyle name="20% - 强调文字颜色 5 8 4 2 2" xfId="4648"/>
    <cellStyle name="20% - 强调文字颜色 5 8 4 3" xfId="4649"/>
    <cellStyle name="20% - 强调文字颜色 5 8 5" xfId="4650"/>
    <cellStyle name="20% - 强调文字颜色 5 8 5 2" xfId="4651"/>
    <cellStyle name="20% - 强调文字颜色 5 8 6" xfId="4652"/>
    <cellStyle name="差 4 2" xfId="4653"/>
    <cellStyle name="20% - 强调文字颜色 5 8 6 2" xfId="4654"/>
    <cellStyle name="差 4 2 2" xfId="4655"/>
    <cellStyle name="20% - 强调文字颜色 5 8 7" xfId="4656"/>
    <cellStyle name="差 4 3" xfId="4657"/>
    <cellStyle name="20% - 强调文字颜色 5 8 8" xfId="4658"/>
    <cellStyle name="差 4 4" xfId="4659"/>
    <cellStyle name="20% - 强调文字颜色 5 9" xfId="4660"/>
    <cellStyle name="40% - 强调文字颜色 2 4 3 2 2" xfId="4661"/>
    <cellStyle name="标题 12 2" xfId="4662"/>
    <cellStyle name="20% - 强调文字颜色 5 9 10" xfId="4663"/>
    <cellStyle name="40% - 强调文字颜色 2 4 3 2 3" xfId="4664"/>
    <cellStyle name="标题 12 3" xfId="4665"/>
    <cellStyle name="20% - 强调文字颜色 5 9 11" xfId="4666"/>
    <cellStyle name="20% - 强调文字颜色 5 9 2" xfId="4667"/>
    <cellStyle name="40% - 强调文字颜色 3 9 4" xfId="4668"/>
    <cellStyle name="20% - 强调文字颜色 6 13 8" xfId="4669"/>
    <cellStyle name="20% - 强调文字颜色 5 9 2 2" xfId="4670"/>
    <cellStyle name="60% - 强调文字颜色 4 9 9" xfId="4671"/>
    <cellStyle name="40% - 强调文字颜色 3 9 4 2" xfId="4672"/>
    <cellStyle name="常规 6 2 2 7" xfId="4673"/>
    <cellStyle name="20% - 强调文字颜色 5 9 2 2 2" xfId="4674"/>
    <cellStyle name="输出 12 3 6" xfId="4675"/>
    <cellStyle name="40% - 强调文字颜色 3 9 4 3" xfId="4676"/>
    <cellStyle name="常规 6 2 2 8" xfId="4677"/>
    <cellStyle name="20% - 强调文字颜色 5 9 2 2 3" xfId="4678"/>
    <cellStyle name="40% - 强调文字颜色 3 9 5" xfId="4679"/>
    <cellStyle name="20% - 强调文字颜色 6 13 9" xfId="4680"/>
    <cellStyle name="千位分隔 3 2 10" xfId="4681"/>
    <cellStyle name="20% - 强调文字颜色 5 9 2 3" xfId="4682"/>
    <cellStyle name="40% - 强调文字颜色 3 9 5 2" xfId="4683"/>
    <cellStyle name="常规 6 2 3 7" xfId="4684"/>
    <cellStyle name="20% - 强调文字颜色 5 9 2 3 2" xfId="4685"/>
    <cellStyle name="汇总 3 2 3" xfId="4686"/>
    <cellStyle name="输出 12 4 6" xfId="4687"/>
    <cellStyle name="20% - 强调文字颜色 5 9 3" xfId="4688"/>
    <cellStyle name="60% - 强调文字颜色 1 5 5 2" xfId="4689"/>
    <cellStyle name="20% - 强调文字颜色 5 9 3 2" xfId="4690"/>
    <cellStyle name="20% - 强调文字颜色 5 9 3 2 2" xfId="4691"/>
    <cellStyle name="输出 13 3 6" xfId="4692"/>
    <cellStyle name="20% - 强调文字颜色 5 9 3 2 2 2" xfId="4693"/>
    <cellStyle name="20% - 强调文字颜色 5 9 3 2 3" xfId="4694"/>
    <cellStyle name="20% - 强调文字颜色 5 9 3 3" xfId="4695"/>
    <cellStyle name="20% - 强调文字颜色 5 9 3 3 2" xfId="4696"/>
    <cellStyle name="汇总 4 2 3" xfId="4697"/>
    <cellStyle name="输出 13 4 6" xfId="4698"/>
    <cellStyle name="20% - 强调文字颜色 5 9 3 4" xfId="4699"/>
    <cellStyle name="20% - 强调文字颜色 5 9 4" xfId="4700"/>
    <cellStyle name="20% - 强调文字颜色 5 9 4 2" xfId="4701"/>
    <cellStyle name="20% - 强调文字颜色 5 9 4 3" xfId="4702"/>
    <cellStyle name="20% - 强调文字颜色 5 9 5" xfId="4703"/>
    <cellStyle name="20% - 强调文字颜色 5 9 5 2" xfId="4704"/>
    <cellStyle name="20% - 强调文字颜色 5 9 6" xfId="4705"/>
    <cellStyle name="差 5 2" xfId="4706"/>
    <cellStyle name="20% - 强调文字颜色 5 9 6 2" xfId="4707"/>
    <cellStyle name="差 5 2 2" xfId="4708"/>
    <cellStyle name="20% - 强调文字颜色 5 9 7" xfId="4709"/>
    <cellStyle name="差 5 3" xfId="4710"/>
    <cellStyle name="20% - 强调文字颜色 5 9 8" xfId="4711"/>
    <cellStyle name="差 5 4" xfId="4712"/>
    <cellStyle name="20% - 强调文字颜色 5 9 9" xfId="4713"/>
    <cellStyle name="差 5 5" xfId="4714"/>
    <cellStyle name="20% - 强调文字颜色 6 10" xfId="4715"/>
    <cellStyle name="40% - 强调文字颜色 3 7 2 2 3" xfId="4716"/>
    <cellStyle name="60% - 强调文字颜色 4 6 3 2" xfId="4717"/>
    <cellStyle name="20% - 强调文字颜色 6 10 2 2" xfId="4718"/>
    <cellStyle name="20% - 强调文字颜色 6 10 2 2 2" xfId="4719"/>
    <cellStyle name="20% - 强调文字颜色 6 10 2 2 2 2" xfId="4720"/>
    <cellStyle name="标题 3 2 5 3" xfId="4721"/>
    <cellStyle name="20% - 强调文字颜色 6 10 2 2 3" xfId="4722"/>
    <cellStyle name="20% - 强调文字颜色 6 10 2 3" xfId="4723"/>
    <cellStyle name="20% - 强调文字颜色 6 10 2 5" xfId="4724"/>
    <cellStyle name="40% - 强调文字颜色 1 3 2 2 2 2" xfId="4725"/>
    <cellStyle name="20% - 强调文字颜色 6 10 3 2 2" xfId="4726"/>
    <cellStyle name="20% - 强调文字颜色 6 10 3 2 2 2" xfId="4727"/>
    <cellStyle name="标题 4 2 5 3" xfId="4728"/>
    <cellStyle name="20% - 强调文字颜色 6 10 3 2 3" xfId="4729"/>
    <cellStyle name="20% - 强调文字颜色 6 10 3 4" xfId="4730"/>
    <cellStyle name="40% - 强调文字颜色 3 10 5" xfId="4731"/>
    <cellStyle name="20% - 强调文字颜色 6 10 4 2 2" xfId="4732"/>
    <cellStyle name="20% - 强调文字颜色 6 6 11" xfId="4733"/>
    <cellStyle name="20% - 强调文字颜色 6 10 4 3" xfId="4734"/>
    <cellStyle name="20% - 强调文字颜色 6 11" xfId="4735"/>
    <cellStyle name="20% - 强调文字颜色 6 11 10" xfId="4736"/>
    <cellStyle name="20% - 强调文字颜色 6 11 11" xfId="4737"/>
    <cellStyle name="20% - 强调文字颜色 6 11 12" xfId="4738"/>
    <cellStyle name="20% - 强调文字颜色 6 11 2" xfId="4739"/>
    <cellStyle name="好 8 6" xfId="4740"/>
    <cellStyle name="40% - 强调文字颜色 3 7 3 2 3" xfId="4741"/>
    <cellStyle name="60% - 强调文字颜色 4 7 3 2" xfId="4742"/>
    <cellStyle name="20% - 强调文字颜色 6 11 2 2" xfId="4743"/>
    <cellStyle name="20% - 强调文字颜色 6 11 2 2 2" xfId="4744"/>
    <cellStyle name="20% - 强调文字颜色 6 11 2 2 2 2" xfId="4745"/>
    <cellStyle name="20% - 强调文字颜色 6 11 2 2 3" xfId="4746"/>
    <cellStyle name="常规 112 2 2" xfId="4747"/>
    <cellStyle name="20% - 强调文字颜色 6 11 2 5" xfId="4748"/>
    <cellStyle name="40% - 强调文字颜色 1 3 3 2" xfId="4749"/>
    <cellStyle name="20% - 强调文字颜色 6 11 3" xfId="4750"/>
    <cellStyle name="好 8 7" xfId="4751"/>
    <cellStyle name="40% - 强调文字颜色 1 3 3 2 2 2" xfId="4752"/>
    <cellStyle name="差 2 5 3" xfId="4753"/>
    <cellStyle name="强调文字颜色 3 5 12" xfId="4754"/>
    <cellStyle name="20% - 强调文字颜色 6 11 3 2 2" xfId="4755"/>
    <cellStyle name="20% - 强调文字颜色 6 11 3 2 3" xfId="4756"/>
    <cellStyle name="常规 113 2 2" xfId="4757"/>
    <cellStyle name="40% - 强调文字颜色 1 3 3 3" xfId="4758"/>
    <cellStyle name="20% - 强调文字颜色 6 11 4" xfId="4759"/>
    <cellStyle name="好 8 8" xfId="4760"/>
    <cellStyle name="20% - 强调文字颜色 6 2 2 3 2" xfId="4761"/>
    <cellStyle name="注释 8 3 3" xfId="4762"/>
    <cellStyle name="20% - 强调文字颜色 6 11 4 3" xfId="4763"/>
    <cellStyle name="20% - 强调文字颜色 6 12" xfId="4764"/>
    <cellStyle name="20% - 强调文字颜色 6 12 10" xfId="4765"/>
    <cellStyle name="20% - 强调文字颜色 6 12 11" xfId="4766"/>
    <cellStyle name="20% - 强调文字颜色 6 12 12" xfId="4767"/>
    <cellStyle name="20% - 强调文字颜色 6 12 2" xfId="4768"/>
    <cellStyle name="好 9 6" xfId="4769"/>
    <cellStyle name="20% - 强调文字颜色 6 12 2 2" xfId="4770"/>
    <cellStyle name="20% - 强调文字颜色 6 12 2 2 2" xfId="4771"/>
    <cellStyle name="20% - 强调文字颜色 6 12 2 2 2 2" xfId="4772"/>
    <cellStyle name="20% - 强调文字颜色 6 12 2 2 3" xfId="4773"/>
    <cellStyle name="20% - 强调文字颜色 6 12 2 3" xfId="4774"/>
    <cellStyle name="20% - 强调文字颜色 6 12 2 4" xfId="4775"/>
    <cellStyle name="60% - 强调文字颜色 2 8 3 2 2 2" xfId="4776"/>
    <cellStyle name="20% - 强调文字颜色 6 12 2 5" xfId="4777"/>
    <cellStyle name="标题 3 4 2 3 2" xfId="4778"/>
    <cellStyle name="20% - 强调文字颜色 6 12 3 2 2" xfId="4779"/>
    <cellStyle name="20% - 强调文字颜色 6 12 3 2 2 2" xfId="4780"/>
    <cellStyle name="20% - 强调文字颜色 6 12 3 2 3" xfId="4781"/>
    <cellStyle name="20% - 强调文字颜色 6 2 3 2 3" xfId="4782"/>
    <cellStyle name="注释 9 2 4" xfId="4783"/>
    <cellStyle name="20% - 强调文字颜色 6 12 3 4" xfId="4784"/>
    <cellStyle name="20% - 强调文字颜色 6 12 4 2 2" xfId="4785"/>
    <cellStyle name="20% - 强调文字颜色 6 2 3 3 2" xfId="4786"/>
    <cellStyle name="注释 9 3 3" xfId="4787"/>
    <cellStyle name="20% - 强调文字颜色 6 12 4 3" xfId="4788"/>
    <cellStyle name="40% - 强调文字颜色 3 8 2 2" xfId="4789"/>
    <cellStyle name="20% - 强调文字颜色 6 12 6 2" xfId="4790"/>
    <cellStyle name="40% - 强调文字颜色 3 8 4" xfId="4791"/>
    <cellStyle name="20% - 强调文字颜色 6 12 8" xfId="4792"/>
    <cellStyle name="20% - 强调文字颜色 6 13 2" xfId="4793"/>
    <cellStyle name="20% - 强调文字颜色 6 13 2 2" xfId="4794"/>
    <cellStyle name="20% - 强调文字颜色 6 13 2 2 2" xfId="4795"/>
    <cellStyle name="20% - 强调文字颜色 6 13 2 2 2 2" xfId="4796"/>
    <cellStyle name="20% - 强调文字颜色 6 13 2 2 3" xfId="4797"/>
    <cellStyle name="20% - 强调文字颜色 6 13 2 3" xfId="4798"/>
    <cellStyle name="20% - 强调文字颜色 6 13 2 4" xfId="4799"/>
    <cellStyle name="20% - 强调文字颜色 6 13 2 5" xfId="4800"/>
    <cellStyle name="20% - 强调文字颜色 6 13 3 2 2" xfId="4801"/>
    <cellStyle name="20% - 强调文字颜色 6 13 3 2 3" xfId="4802"/>
    <cellStyle name="20% - 强调文字颜色 6 2 4 2 2" xfId="4803"/>
    <cellStyle name="20% - 强调文字颜色 6 13 3 3" xfId="4804"/>
    <cellStyle name="20% - 强调文字颜色 6 13 4 2" xfId="4805"/>
    <cellStyle name="20% - 强调文字颜色 6 13 4 2 2" xfId="4806"/>
    <cellStyle name="20% - 强调文字颜色 6 2 4 3 2" xfId="4807"/>
    <cellStyle name="强调文字颜色 5 13 13" xfId="4808"/>
    <cellStyle name="20% - 强调文字颜色 6 13 4 3" xfId="4809"/>
    <cellStyle name="20% - 强调文字颜色 6 13 5 2" xfId="4810"/>
    <cellStyle name="40% - 强调文字颜色 5 3 2 2 3" xfId="4811"/>
    <cellStyle name="40% - 强调文字颜色 3 9 2" xfId="4812"/>
    <cellStyle name="20% - 强调文字颜色 6 13 6" xfId="4813"/>
    <cellStyle name="40% - 强调文字颜色 3 9 2 2" xfId="4814"/>
    <cellStyle name="标题 4 5 2 2 3" xfId="4815"/>
    <cellStyle name="20% - 强调文字颜色 6 13 6 2" xfId="4816"/>
    <cellStyle name="40% - 强调文字颜色 3 9 3 2" xfId="4817"/>
    <cellStyle name="20% - 强调文字颜色 6 13 7 2" xfId="4818"/>
    <cellStyle name="20% - 强调文字颜色 6 14 2 2" xfId="4819"/>
    <cellStyle name="千位分隔 2 6 2" xfId="4820"/>
    <cellStyle name="20% - 强调文字颜色 6 14 2 2 2" xfId="4821"/>
    <cellStyle name="20% - 强调文字颜色 6 14 2 3" xfId="4822"/>
    <cellStyle name="检查单元格 15 2" xfId="4823"/>
    <cellStyle name="千位分隔 2 6 3" xfId="4824"/>
    <cellStyle name="20% - 强调文字颜色 6 3 2 2" xfId="4825"/>
    <cellStyle name="Header2 2 2 2 2 5 2" xfId="4826"/>
    <cellStyle name="20% - 强调文字颜色 6 16" xfId="4827"/>
    <cellStyle name="40% - 强调文字颜色 1 4 3 2 3" xfId="4828"/>
    <cellStyle name="20% - 强调文字颜色 6 3 2 2 2" xfId="4829"/>
    <cellStyle name="20% - 强调文字颜色 6 16 2" xfId="4830"/>
    <cellStyle name="千位分隔 4 6" xfId="4831"/>
    <cellStyle name="20% - 强调文字颜色 6 3 2 3" xfId="4832"/>
    <cellStyle name="20% - 强调文字颜色 6 17" xfId="4833"/>
    <cellStyle name="40% - 强调文字颜色 1 12 3 3" xfId="4834"/>
    <cellStyle name="20% - 强调文字颜色 6 2" xfId="4835"/>
    <cellStyle name="20% - 强调文字颜色 6 2 2 2 2 2 2" xfId="4836"/>
    <cellStyle name="百分比 4 5 2" xfId="4837"/>
    <cellStyle name="40% - 强调文字颜色 1 7 2 5" xfId="4838"/>
    <cellStyle name="20% - 强调文字颜色 6 2 2 2 2 3" xfId="4839"/>
    <cellStyle name="常规 17 2" xfId="4840"/>
    <cellStyle name="40% - 强调文字颜色 2 9 11" xfId="4841"/>
    <cellStyle name="20% - 强调文字颜色 6 2 2 2 2 3 2" xfId="4842"/>
    <cellStyle name="常规 17 2 2" xfId="4843"/>
    <cellStyle name="20% - 强调文字颜色 6 2 2 2 2 4" xfId="4844"/>
    <cellStyle name="常规 17 3" xfId="4845"/>
    <cellStyle name="40% - 强调文字颜色 3 10 2 5" xfId="4846"/>
    <cellStyle name="40% - 强调文字颜色 1 7 3 4" xfId="4847"/>
    <cellStyle name="20% - 强调文字颜色 6 2 2 2 3 2" xfId="4848"/>
    <cellStyle name="百分比 5 5" xfId="4849"/>
    <cellStyle name="20% - 强调文字颜色 6 2 2 2 4" xfId="4850"/>
    <cellStyle name="注释 8 2 5" xfId="4851"/>
    <cellStyle name="20% - 强调文字颜色 6 2 2 4" xfId="4852"/>
    <cellStyle name="20% - 强调文字颜色 6 2 3" xfId="4853"/>
    <cellStyle name="20% - 强调文字颜色 6 2 3 2" xfId="4854"/>
    <cellStyle name="20% - 强调文字颜色 6 2 3 3" xfId="4855"/>
    <cellStyle name="20% - 强调文字颜色 6 2 3 4" xfId="4856"/>
    <cellStyle name="20% - 强调文字颜色 6 2 4 2" xfId="4857"/>
    <cellStyle name="20% - 强调文字颜色 6 2 4 3" xfId="4858"/>
    <cellStyle name="20% - 强调文字颜色 6 2 4 4" xfId="4859"/>
    <cellStyle name="20% - 强调文字颜色 6 2 5" xfId="4860"/>
    <cellStyle name="20% - 强调文字颜色 6 2 5 2 2" xfId="4861"/>
    <cellStyle name="40% - 强调文字颜色 2 3 3 2 2" xfId="4862"/>
    <cellStyle name="20% - 强调文字颜色 6 2 6" xfId="4863"/>
    <cellStyle name="40% - 强调文字颜色 2 3 3 2 2 2" xfId="4864"/>
    <cellStyle name="20% - 强调文字颜色 6 2 6 2" xfId="4865"/>
    <cellStyle name="40% - 强调文字颜色 2 3 3 2 3" xfId="4866"/>
    <cellStyle name="20% - 强调文字颜色 6 2 7" xfId="4867"/>
    <cellStyle name="好 4 2 3 2" xfId="4868"/>
    <cellStyle name="20% - 强调文字颜色 6 2 8" xfId="4869"/>
    <cellStyle name="20% - 强调文字颜色 6 2 9" xfId="4870"/>
    <cellStyle name="20% - 强调文字颜色 6 3 2 2 3" xfId="4871"/>
    <cellStyle name="20% - 强调文字颜色 6 3 2 3 2" xfId="4872"/>
    <cellStyle name="输出 6 11" xfId="4873"/>
    <cellStyle name="20% - 强调文字颜色 6 3 2 4" xfId="4874"/>
    <cellStyle name="20% - 强调文字颜色 6 3 2 5" xfId="4875"/>
    <cellStyle name="标题 3 9 2" xfId="4876"/>
    <cellStyle name="20% - 强调文字颜色 6 3 3" xfId="4877"/>
    <cellStyle name="Header2 2 2 2 2 6" xfId="4878"/>
    <cellStyle name="no dec" xfId="4879"/>
    <cellStyle name="20% - 强调文字颜色 6 9 2 2 3" xfId="4880"/>
    <cellStyle name="20% - 强调文字颜色 6 3 3 2" xfId="4881"/>
    <cellStyle name="Header2 2 2 2 2 6 2" xfId="4882"/>
    <cellStyle name="20% - 强调文字颜色 6 3 3 2 2" xfId="4883"/>
    <cellStyle name="20% - 强调文字颜色 6 3 3 2 3" xfId="4884"/>
    <cellStyle name="20% - 强调文字颜色 6 3 3 3" xfId="4885"/>
    <cellStyle name="20% - 强调文字颜色 6 3 3 3 2" xfId="4886"/>
    <cellStyle name="常规 16 2 9" xfId="4887"/>
    <cellStyle name="20% - 强调文字颜色 6 3 3 4" xfId="4888"/>
    <cellStyle name="40% - 强调文字颜色 3 10 7" xfId="4889"/>
    <cellStyle name="强调文字颜色 6 8 5 2" xfId="4890"/>
    <cellStyle name="20% - 强调文字颜色 6 3 6 2" xfId="4891"/>
    <cellStyle name="Header2 2 2 2 2 9 2" xfId="4892"/>
    <cellStyle name="20% - 强调文字颜色 6 3 8" xfId="4893"/>
    <cellStyle name="20% - 强调文字颜色 6 3 9" xfId="4894"/>
    <cellStyle name="20% - 强调文字颜色 6 4 2" xfId="4895"/>
    <cellStyle name="20% - 强调文字颜色 6 4 2 3" xfId="4896"/>
    <cellStyle name="40% - 强调文字颜色 2 5 2 3 2" xfId="4897"/>
    <cellStyle name="20% - 强调文字颜色 6 4 2 4" xfId="4898"/>
    <cellStyle name="20% - 强调文字颜色 6 4 2 5" xfId="4899"/>
    <cellStyle name="标题 4 9 2" xfId="4900"/>
    <cellStyle name="20% - 强调文字颜色 6 7 4 2 2" xfId="4901"/>
    <cellStyle name="常规 5 2 2 2 7" xfId="4902"/>
    <cellStyle name="20% - 强调文字颜色 6 4 3" xfId="4903"/>
    <cellStyle name="20% - 强调文字颜色 6 9 3 2 3" xfId="4904"/>
    <cellStyle name="20% - 强调文字颜色 6 4 3 2" xfId="4905"/>
    <cellStyle name="20% - 强调文字颜色 6 4 3 3" xfId="4906"/>
    <cellStyle name="20% - 强调文字颜色 6 4 3 4" xfId="4907"/>
    <cellStyle name="20% - 强调文字颜色 6 4 6 2" xfId="4908"/>
    <cellStyle name="20% - 强调文字颜色 6 4 7" xfId="4909"/>
    <cellStyle name="20% - 强调文字颜色 6 4 8" xfId="4910"/>
    <cellStyle name="60% - 强调文字颜色 5 9 4 2 2" xfId="4911"/>
    <cellStyle name="20% - 强调文字颜色 6 4 9" xfId="4912"/>
    <cellStyle name="20% - 强调文字颜色 6 5" xfId="4913"/>
    <cellStyle name="标题 3 14 3 2" xfId="4914"/>
    <cellStyle name="20% - 强调文字颜色 6 5 10" xfId="4915"/>
    <cellStyle name="好 7 3 2" xfId="4916"/>
    <cellStyle name="20% - 强调文字颜色 6 5 11" xfId="4917"/>
    <cellStyle name="好 7 3 3" xfId="4918"/>
    <cellStyle name="20% - 强调文字颜色 6 5 2" xfId="4919"/>
    <cellStyle name="40% - 强调文字颜色 2 5 11" xfId="4920"/>
    <cellStyle name="常规 16 7 2" xfId="4921"/>
    <cellStyle name="20% - 强调文字颜色 6 5 2 2" xfId="4922"/>
    <cellStyle name="Header2 2 3 4" xfId="4923"/>
    <cellStyle name="40% - 强调文字颜色 1 6 3 2 3" xfId="4924"/>
    <cellStyle name="60% - 强调文字颜色 1 13 4" xfId="4925"/>
    <cellStyle name="20% - 强调文字颜色 6 5 2 2 2" xfId="4926"/>
    <cellStyle name="Header2 2 3 4 2" xfId="4927"/>
    <cellStyle name="40% - 强调文字颜色 2 5 12" xfId="4928"/>
    <cellStyle name="20% - 强调文字颜色 6 5 2 3" xfId="4929"/>
    <cellStyle name="Header2 2 3 5" xfId="4930"/>
    <cellStyle name="40% - 强调文字颜色 1 2 5" xfId="4931"/>
    <cellStyle name="20% - 强调文字颜色 6 5 2 3 2" xfId="4932"/>
    <cellStyle name="Header2 2 3 5 2" xfId="4933"/>
    <cellStyle name="好_中国书店出版社(09审计）往来科目需填写表格" xfId="4934"/>
    <cellStyle name="40% - 强调文字颜色 2 5 3 3 2" xfId="4935"/>
    <cellStyle name="20% - 强调文字颜色 6 5 2 4" xfId="4936"/>
    <cellStyle name="Header2 2 3 6" xfId="4937"/>
    <cellStyle name="20% - 强调文字颜色 6 5 2 5" xfId="4938"/>
    <cellStyle name="Header2 2 3 7" xfId="4939"/>
    <cellStyle name="20% - 强调文字颜色 6 5 3" xfId="4940"/>
    <cellStyle name="20% - 强调文字颜色 6 5 3 2 2" xfId="4941"/>
    <cellStyle name="40% - 强调文字颜色 2 2 5" xfId="4942"/>
    <cellStyle name="20% - 强调文字颜色 6 5 3 3 2" xfId="4943"/>
    <cellStyle name="20% - 强调文字颜色 6 5 3 4" xfId="4944"/>
    <cellStyle name="20% - 强调文字颜色 6 5 4 2 2" xfId="4945"/>
    <cellStyle name="20% - 强调文字颜色 6 5 4 3" xfId="4946"/>
    <cellStyle name="20% - 强调文字颜色 6 5 5 2" xfId="4947"/>
    <cellStyle name="20% - 强调文字颜色 6 5 6 2" xfId="4948"/>
    <cellStyle name="20% - 强调文字颜色 6 5 9" xfId="4949"/>
    <cellStyle name="20% - 强调文字颜色 6 6" xfId="4950"/>
    <cellStyle name="20% - 强调文字颜色 6 6 12" xfId="4951"/>
    <cellStyle name="20% - 强调文字颜色 6 6 2" xfId="4952"/>
    <cellStyle name="20% - 强调文字颜色 6 6 2 2" xfId="4953"/>
    <cellStyle name="20% - 强调文字颜色 6 6 2 3" xfId="4954"/>
    <cellStyle name="20% - 强调文字颜色 6 6 2 4" xfId="4955"/>
    <cellStyle name="20% - 强调文字颜色 6 6 2 5" xfId="4956"/>
    <cellStyle name="20% - 强调文字颜色 6 6 3" xfId="4957"/>
    <cellStyle name="60% - 强调文字颜色 1 6 2 2" xfId="4958"/>
    <cellStyle name="20% - 强调文字颜色 6 6 3 2" xfId="4959"/>
    <cellStyle name="60% - 强调文字颜色 1 6 2 2 2" xfId="4960"/>
    <cellStyle name="输出 2 7" xfId="4961"/>
    <cellStyle name="20% - 强调文字颜色 6 6 3 2 2" xfId="4962"/>
    <cellStyle name="60% - 强调文字颜色 1 6 2 2 2 2" xfId="4963"/>
    <cellStyle name="输出 2 7 2" xfId="4964"/>
    <cellStyle name="20% - 强调文字颜色 6 6 3 3 2" xfId="4965"/>
    <cellStyle name="输出 2 8 2" xfId="4966"/>
    <cellStyle name="20% - 强调文字颜色 6 6 4 2" xfId="4967"/>
    <cellStyle name="60% - 强调文字颜色 1 6 2 3 2" xfId="4968"/>
    <cellStyle name="输出 3 7" xfId="4969"/>
    <cellStyle name="20% - 强调文字颜色 6 6 4 2 2" xfId="4970"/>
    <cellStyle name="输出 3 7 2" xfId="4971"/>
    <cellStyle name="20% - 强调文字颜色 6 6 4 3" xfId="4972"/>
    <cellStyle name="输出 3 8" xfId="4973"/>
    <cellStyle name="20% - 强调文字颜色 6 6 5" xfId="4974"/>
    <cellStyle name="60% - 强调文字颜色 1 6 2 4" xfId="4975"/>
    <cellStyle name="注释 12 10" xfId="4976"/>
    <cellStyle name="20% - 强调文字颜色 6 6 5 2" xfId="4977"/>
    <cellStyle name="输出 4 7" xfId="4978"/>
    <cellStyle name="20% - 强调文字颜色 6 6 6" xfId="4979"/>
    <cellStyle name="60% - 强调文字颜色 1 6 2 5" xfId="4980"/>
    <cellStyle name="注释 12 11" xfId="4981"/>
    <cellStyle name="20% - 强调文字颜色 6 6 6 2" xfId="4982"/>
    <cellStyle name="输出 5 7" xfId="4983"/>
    <cellStyle name="20% - 强调文字颜色 6 6 8" xfId="4984"/>
    <cellStyle name="注释 12 13" xfId="4985"/>
    <cellStyle name="20% - 强调文字颜色 6 6 9" xfId="4986"/>
    <cellStyle name="注释 12 14" xfId="4987"/>
    <cellStyle name="40% - 强调文字颜色 3 4 2 2" xfId="4988"/>
    <cellStyle name="20% - 强调文字颜色 6 7" xfId="4989"/>
    <cellStyle name="20% - 强调文字颜色 6 7 11" xfId="4990"/>
    <cellStyle name="输出 3 3 3 2" xfId="4991"/>
    <cellStyle name="20% - 强调文字颜色 6 7 12" xfId="4992"/>
    <cellStyle name="常规 2 10 2" xfId="4993"/>
    <cellStyle name="40% - 强调文字颜色 3 4 2 2 2" xfId="4994"/>
    <cellStyle name="20% - 强调文字颜色 6 7 2" xfId="4995"/>
    <cellStyle name="40% - 强调文字颜色 3 4 2 2 2 2" xfId="4996"/>
    <cellStyle name="20% - 强调文字颜色 6 7 2 2" xfId="4997"/>
    <cellStyle name="20% - 强调文字颜色 6 7 2 3" xfId="4998"/>
    <cellStyle name="20% - 强调文字颜色 6 7 2 4" xfId="4999"/>
    <cellStyle name="20% - 强调文字颜色 6 7 2 5" xfId="5000"/>
    <cellStyle name="40% - 强调文字颜色 3 4 2 2 3" xfId="5001"/>
    <cellStyle name="20% - 强调文字颜色 6 7 3" xfId="5002"/>
    <cellStyle name="60% - 强调文字颜色 1 6 3 2" xfId="5003"/>
    <cellStyle name="20% - 强调文字颜色 6 7 3 2" xfId="5004"/>
    <cellStyle name="60% - 强调文字颜色 1 6 3 2 2" xfId="5005"/>
    <cellStyle name="20% - 强调文字颜色 6 7 3 3" xfId="5006"/>
    <cellStyle name="60% - 强调文字颜色 1 6 3 2 3" xfId="5007"/>
    <cellStyle name="60% - 强调文字颜色 4 2 3 2 2 2" xfId="5008"/>
    <cellStyle name="20% - 强调文字颜色 6 7 3 4" xfId="5009"/>
    <cellStyle name="20% - 强调文字颜色 6 7 4 2" xfId="5010"/>
    <cellStyle name="60% - 强调文字颜色 1 6 3 3 2" xfId="5011"/>
    <cellStyle name="20% - 强调文字颜色 6 7 4 3" xfId="5012"/>
    <cellStyle name="20% - 强调文字颜色 6 7 5" xfId="5013"/>
    <cellStyle name="60% - 强调文字颜色 1 6 3 4" xfId="5014"/>
    <cellStyle name="20% - 强调文字颜色 6 7 5 2" xfId="5015"/>
    <cellStyle name="20% - 强调文字颜色 6 7 7" xfId="5016"/>
    <cellStyle name="20% - 强调文字颜色 6 7 8" xfId="5017"/>
    <cellStyle name="20% - 强调文字颜色 6 7 9" xfId="5018"/>
    <cellStyle name="40% - 强调文字颜色 3 4 2 3" xfId="5019"/>
    <cellStyle name="20% - 强调文字颜色 6 8" xfId="5020"/>
    <cellStyle name="40% - 强调文字颜色 3 4 2 3 2" xfId="5021"/>
    <cellStyle name="20% - 强调文字颜色 6 8 2" xfId="5022"/>
    <cellStyle name="20% - 强调文字颜色 6 8 2 2" xfId="5023"/>
    <cellStyle name="40% - 强调文字颜色 1 9 3 2 3" xfId="5024"/>
    <cellStyle name="强调文字颜色 5 14 2" xfId="5025"/>
    <cellStyle name="20% - 强调文字颜色 6 8 2 2 2" xfId="5026"/>
    <cellStyle name="40% - 强调文字颜色 2 3 2 5" xfId="5027"/>
    <cellStyle name="解释性文本 4" xfId="5028"/>
    <cellStyle name="20% - 强调文字颜色 6 8 2 2 2 2" xfId="5029"/>
    <cellStyle name="强调文字颜色 2 13 4" xfId="5030"/>
    <cellStyle name="20% - 强调文字颜色 6 8 3" xfId="5031"/>
    <cellStyle name="60% - 强调文字颜色 1 6 4 2" xfId="5032"/>
    <cellStyle name="20% - 强调文字颜色 6 8 3 2" xfId="5033"/>
    <cellStyle name="60% - 强调文字颜色 1 6 4 2 2" xfId="5034"/>
    <cellStyle name="20% - 强调文字颜色 6 8 3 2 2" xfId="5035"/>
    <cellStyle name="20% - 强调文字颜色 6 8 3 3 2" xfId="5036"/>
    <cellStyle name="20% - 强调文字颜色 6 8 3 4" xfId="5037"/>
    <cellStyle name="20% - 强调文字颜色 6 8 4" xfId="5038"/>
    <cellStyle name="60% - 强调文字颜色 1 6 4 3" xfId="5039"/>
    <cellStyle name="20% - 强调文字颜色 6 8 4 2" xfId="5040"/>
    <cellStyle name="20% - 强调文字颜色 6 8 4 3" xfId="5041"/>
    <cellStyle name="20% - 强调文字颜色 6 8 5" xfId="5042"/>
    <cellStyle name="20% - 强调文字颜色 6 8 5 2" xfId="5043"/>
    <cellStyle name="40% - 强调文字颜色 4 10 7" xfId="5044"/>
    <cellStyle name="20% - 强调文字颜色 6 8 6 2" xfId="5045"/>
    <cellStyle name="20% - 强调文字颜色 6 8 9" xfId="5046"/>
    <cellStyle name="40% - 强调文字颜色 3 4 2 4" xfId="5047"/>
    <cellStyle name="20% - 强调文字颜色 6 9" xfId="5048"/>
    <cellStyle name="20% - 强调文字颜色 6 9 2" xfId="5049"/>
    <cellStyle name="20% - 强调文字颜色 6 9 2 2" xfId="5050"/>
    <cellStyle name="20% - 强调文字颜色 6 9 2 2 2" xfId="5051"/>
    <cellStyle name="差 13 13" xfId="5052"/>
    <cellStyle name="20% - 强调文字颜色 6 9 2 2 2 2" xfId="5053"/>
    <cellStyle name="20% - 强调文字颜色 6 9 2 5" xfId="5054"/>
    <cellStyle name="20% - 强调文字颜色 6 9 3" xfId="5055"/>
    <cellStyle name="60% - 强调文字颜色 1 6 5 2" xfId="5056"/>
    <cellStyle name="20% - 强调文字颜色 6 9 3 2" xfId="5057"/>
    <cellStyle name="20% - 强调文字颜色 6 9 3 2 2" xfId="5058"/>
    <cellStyle name="20% - 强调文字颜色 6 9 3 3" xfId="5059"/>
    <cellStyle name="20% - 强调文字颜色 6 9 3 4" xfId="5060"/>
    <cellStyle name="20% - 强调文字颜色 6 9 4" xfId="5061"/>
    <cellStyle name="20% - 强调文字颜色 6 9 4 2" xfId="5062"/>
    <cellStyle name="20% - 强调文字颜色 6 9 4 3" xfId="5063"/>
    <cellStyle name="40% - 强调文字颜色 3 7 2 2 2 2" xfId="5064"/>
    <cellStyle name="20% - 强调文字颜色 6 9 5" xfId="5065"/>
    <cellStyle name="20% - 强调文字颜色 6 9 5 2" xfId="5066"/>
    <cellStyle name="20% - 强调文字颜色 6 9 6" xfId="5067"/>
    <cellStyle name="20% - 强调文字颜色 6 9 6 2" xfId="5068"/>
    <cellStyle name="20% - 强调文字颜色 6 9 7" xfId="5069"/>
    <cellStyle name="20% - 强调文字颜色 6 9 8" xfId="5070"/>
    <cellStyle name="20% - 强调文字颜色 6 9 9" xfId="5071"/>
    <cellStyle name="40% - 强调文字颜色 3 5 2 5" xfId="5072"/>
    <cellStyle name="3232" xfId="5073"/>
    <cellStyle name="检查单元格 5 4" xfId="5074"/>
    <cellStyle name="40% - 强调文字颜色 1 10" xfId="5075"/>
    <cellStyle name="好 5 2 5" xfId="5076"/>
    <cellStyle name="40% - 强调文字颜色 3 6 3 4" xfId="5077"/>
    <cellStyle name="40% - 强调文字颜色 1 10 11" xfId="5078"/>
    <cellStyle name="40% - 强调文字颜色 1 10 12" xfId="5079"/>
    <cellStyle name="40% - 强调文字颜色 1 10 2" xfId="5080"/>
    <cellStyle name="输出 11 5 3" xfId="5081"/>
    <cellStyle name="40% - 强调文字颜色 1 10 2 2" xfId="5082"/>
    <cellStyle name="输出 11 5 3 2" xfId="5083"/>
    <cellStyle name="40% - 强调文字颜色 1 10 2 2 2" xfId="5084"/>
    <cellStyle name="40% - 强调文字颜色 1 10 2 2 2 2" xfId="5085"/>
    <cellStyle name="40% - 强调文字颜色 1 10 2 2 3" xfId="5086"/>
    <cellStyle name="40% - 强调文字颜色 1 10 2 3" xfId="5087"/>
    <cellStyle name="40% - 强调文字颜色 1 10 2 3 2" xfId="5088"/>
    <cellStyle name="40% - 强调文字颜色 1 10 2 4" xfId="5089"/>
    <cellStyle name="40% - 强调文字颜色 4 10 3 3 2" xfId="5090"/>
    <cellStyle name="40% - 强调文字颜色 1 6 4 2" xfId="5091"/>
    <cellStyle name="40% - 强调文字颜色 1 10 2 5" xfId="5092"/>
    <cellStyle name="60% - 强调文字颜色 5 11 3 3 2" xfId="5093"/>
    <cellStyle name="40% - 强调文字颜色 1 10 3" xfId="5094"/>
    <cellStyle name="输出 11 5 4" xfId="5095"/>
    <cellStyle name="40% - 强调文字颜色 1 10 3 2 2 2" xfId="5096"/>
    <cellStyle name="40% - 强调文字颜色 1 10 3 2 3" xfId="5097"/>
    <cellStyle name="40% - 强调文字颜色 1 10 3 3 2" xfId="5098"/>
    <cellStyle name="40% - 强调文字颜色 1 10 3 4" xfId="5099"/>
    <cellStyle name="40% - 强调文字颜色 1 10 4" xfId="5100"/>
    <cellStyle name="汇总 2 3 2" xfId="5101"/>
    <cellStyle name="输出 11 5 5" xfId="5102"/>
    <cellStyle name="40% - 强调文字颜色 1 10 4 2 2" xfId="5103"/>
    <cellStyle name="40% - 强调文字颜色 1 10 6" xfId="5104"/>
    <cellStyle name="40% - 强调文字颜色 1 10 8" xfId="5105"/>
    <cellStyle name="40% - 强调文字颜色 1 10 9" xfId="5106"/>
    <cellStyle name="千位分隔 7 3 2" xfId="5107"/>
    <cellStyle name="40% - 强调文字颜色 1 11" xfId="5108"/>
    <cellStyle name="40% - 强调文字颜色 1 11 12" xfId="5109"/>
    <cellStyle name="40% - 强调文字颜色 1 11 2" xfId="5110"/>
    <cellStyle name="输出 11 6 3" xfId="5111"/>
    <cellStyle name="40% - 强调文字颜色 2 2 2 2 3" xfId="5112"/>
    <cellStyle name="40% - 强调文字颜色 1 11 2 2" xfId="5113"/>
    <cellStyle name="输出 11 6 3 2" xfId="5114"/>
    <cellStyle name="40% - 强调文字颜色 2 2 2 2 4" xfId="5115"/>
    <cellStyle name="40% - 强调文字颜色 1 11 2 3" xfId="5116"/>
    <cellStyle name="40% - 强调文字颜色 3 10 3 2" xfId="5117"/>
    <cellStyle name="60% - 强调文字颜色 2 12 2 4" xfId="5118"/>
    <cellStyle name="40% - 强调文字颜色 1 11 2 4" xfId="5119"/>
    <cellStyle name="百分比 6 2" xfId="5120"/>
    <cellStyle name="40% - 强调文字颜色 3 10 3 3" xfId="5121"/>
    <cellStyle name="60% - 强调文字颜色 2 12 2 5" xfId="5122"/>
    <cellStyle name="40% - 强调文字颜色 1 7 4 2" xfId="5123"/>
    <cellStyle name="40% - 强调文字颜色 1 11 2 5" xfId="5124"/>
    <cellStyle name="百分比 6 3" xfId="5125"/>
    <cellStyle name="40% - 强调文字颜色 1 11 3" xfId="5126"/>
    <cellStyle name="输出 11 6 4" xfId="5127"/>
    <cellStyle name="40% - 强调文字颜色 1 11 3 3" xfId="5128"/>
    <cellStyle name="计算 11 11" xfId="5129"/>
    <cellStyle name="40% - 强调文字颜色 3 10 4 2" xfId="5130"/>
    <cellStyle name="60% - 强调文字颜色 2 12 3 4" xfId="5131"/>
    <cellStyle name="40% - 强调文字颜色 1 11 3 4" xfId="5132"/>
    <cellStyle name="百分比 7 2" xfId="5133"/>
    <cellStyle name="计算 11 12" xfId="5134"/>
    <cellStyle name="40% - 强调文字颜色 1 2 2 2 2 2" xfId="5135"/>
    <cellStyle name="40% - 强调文字颜色 1 11 4" xfId="5136"/>
    <cellStyle name="汇总 2 4 2" xfId="5137"/>
    <cellStyle name="输出 11 6 5" xfId="5138"/>
    <cellStyle name="40% - 强调文字颜色 1 2 2 2 2 2 2" xfId="5139"/>
    <cellStyle name="40% - 强调文字颜色 1 11 4 2" xfId="5140"/>
    <cellStyle name="汇总 2 4 2 2" xfId="5141"/>
    <cellStyle name="输出 11 6 5 2" xfId="5142"/>
    <cellStyle name="40% - 强调文字颜色 1 11 4 2 2" xfId="5143"/>
    <cellStyle name="40% - 强调文字颜色 1 11 4 3" xfId="5144"/>
    <cellStyle name="40% - 强调文字颜色 1 11 9" xfId="5145"/>
    <cellStyle name="千位分隔 7 4 2" xfId="5146"/>
    <cellStyle name="40% - 强调文字颜色 1 12 4 2 2" xfId="5147"/>
    <cellStyle name="40% - 强调文字颜色 1 12" xfId="5148"/>
    <cellStyle name="40% - 强调文字颜色 1 12 2" xfId="5149"/>
    <cellStyle name="强调文字颜色 4 7 10" xfId="5150"/>
    <cellStyle name="40% - 强调文字颜色 2 2 3 2 3" xfId="5151"/>
    <cellStyle name="40% - 强调文字颜色 1 12 2 2" xfId="5152"/>
    <cellStyle name="40% - 强调文字颜色 1 2 2 2 3 2" xfId="5153"/>
    <cellStyle name="40% - 强调文字颜色 1 12 4" xfId="5154"/>
    <cellStyle name="汇总 2 5 2" xfId="5155"/>
    <cellStyle name="强调文字颜色 4 7 12" xfId="5156"/>
    <cellStyle name="40% - 强调文字颜色 1 12 4 3" xfId="5157"/>
    <cellStyle name="40% - 强调文字颜色 1 13" xfId="5158"/>
    <cellStyle name="40% - 强调文字颜色 1 13 2" xfId="5159"/>
    <cellStyle name="40% - 强调文字颜色 2 2 4 2 3" xfId="5160"/>
    <cellStyle name="40% - 强调文字颜色 1 13 2 2" xfId="5161"/>
    <cellStyle name="常规 4 2 2 4" xfId="5162"/>
    <cellStyle name="40% - 强调文字颜色 1 13 2 3" xfId="5163"/>
    <cellStyle name="常规 4 2 2 5" xfId="5164"/>
    <cellStyle name="40% - 强调文字颜色 1 13 3" xfId="5165"/>
    <cellStyle name="40% - 强调文字颜色 1 13 4" xfId="5166"/>
    <cellStyle name="汇总 2 6 2" xfId="5167"/>
    <cellStyle name="40% - 强调文字颜色 1 13 4 3" xfId="5168"/>
    <cellStyle name="40% - 强调文字颜色 1 14 2" xfId="5169"/>
    <cellStyle name="40% - 强调文字颜色 1 14 2 2" xfId="5170"/>
    <cellStyle name="40% - 强调文字颜色 1 14 3" xfId="5171"/>
    <cellStyle name="40% - 强调文字颜色 1 14 4" xfId="5172"/>
    <cellStyle name="汇总 2 7 2" xfId="5173"/>
    <cellStyle name="40% - 强调文字颜色 1 15" xfId="5174"/>
    <cellStyle name="输出 5 3 3 2" xfId="5175"/>
    <cellStyle name="40% - 强调文字颜色 1 15 2" xfId="5176"/>
    <cellStyle name="40% - 强调文字颜色 1 15 2 2" xfId="5177"/>
    <cellStyle name="40% - 强调文字颜色 3 2 5 2 2" xfId="5178"/>
    <cellStyle name="计算 13 2 3" xfId="5179"/>
    <cellStyle name="40% - 强调文字颜色 1 15 3" xfId="5180"/>
    <cellStyle name="40% - 强调文字颜色 1 2" xfId="5181"/>
    <cellStyle name="40% - 强调文字颜色 1 2 10" xfId="5182"/>
    <cellStyle name="40% - 强调文字颜色 1 2 11" xfId="5183"/>
    <cellStyle name="标题 1 2 4 2" xfId="5184"/>
    <cellStyle name="40% - 强调文字颜色 1 2 12" xfId="5185"/>
    <cellStyle name="标题 1 2 4 3" xfId="5186"/>
    <cellStyle name="40% - 强调文字颜色 1 2 2" xfId="5187"/>
    <cellStyle name="40% - 强调文字颜色 2 6 10" xfId="5188"/>
    <cellStyle name="40% - 强调文字颜色 1 2 2 2 2" xfId="5189"/>
    <cellStyle name="40% - 强调文字颜色 2 6 12" xfId="5190"/>
    <cellStyle name="40% - 强调文字颜色 1 2 2 2 4" xfId="5191"/>
    <cellStyle name="40% - 强调文字颜色 1 2 2 3 2 2" xfId="5192"/>
    <cellStyle name="40% - 强调文字颜色 1 2 3" xfId="5193"/>
    <cellStyle name="40% - 强调文字颜色 1 2 3 2" xfId="5194"/>
    <cellStyle name="40% - 强调文字颜色 1 2 3 2 3" xfId="5195"/>
    <cellStyle name="40% - 强调文字颜色 2 7 3 3 2" xfId="5196"/>
    <cellStyle name="40% - 强调文字颜色 1 2 3 3" xfId="5197"/>
    <cellStyle name="40% - 强调文字颜色 1 2 3 3 2" xfId="5198"/>
    <cellStyle name="40% - 强调文字颜色 1 6 3 3 2" xfId="5199"/>
    <cellStyle name="60% - 强调文字颜色 1 14 3" xfId="5200"/>
    <cellStyle name="输出 9 2 6" xfId="5201"/>
    <cellStyle name="40% - 强调文字颜色 1 2 4" xfId="5202"/>
    <cellStyle name="常规 2 3 3 2 2 2" xfId="5203"/>
    <cellStyle name="40% - 强调文字颜色 1 2 4 2" xfId="5204"/>
    <cellStyle name="40% - 强调文字颜色 1 2 4 2 2" xfId="5205"/>
    <cellStyle name="40% - 强调文字颜色 1 2 4 2 2 2" xfId="5206"/>
    <cellStyle name="40% - 强调文字颜色 1 2 4 2 3" xfId="5207"/>
    <cellStyle name="40% - 强调文字颜色 1 2 4 3" xfId="5208"/>
    <cellStyle name="40% - 强调文字颜色 1 2 4 3 2" xfId="5209"/>
    <cellStyle name="40% - 强调文字颜色 1 2 5 2" xfId="5210"/>
    <cellStyle name="40% - 强调文字颜色 1 2 5 3" xfId="5211"/>
    <cellStyle name="40% - 强调文字颜色 1 2 8" xfId="5212"/>
    <cellStyle name="Header2 4 10 2" xfId="5213"/>
    <cellStyle name="40% - 强调文字颜色 1 2 9" xfId="5214"/>
    <cellStyle name="40% - 强调文字颜色 1 3" xfId="5215"/>
    <cellStyle name="差_07年瑞祥泰" xfId="5216"/>
    <cellStyle name="40% - 强调文字颜色 1 3 10" xfId="5217"/>
    <cellStyle name="40% - 强调文字颜色 1 3 11" xfId="5218"/>
    <cellStyle name="40% - 强调文字颜色 1 3 12" xfId="5219"/>
    <cellStyle name="40% - 强调文字颜色 1 3 2" xfId="5220"/>
    <cellStyle name="40% - 强调文字颜色 1 3 3" xfId="5221"/>
    <cellStyle name="40% - 强调文字颜色 1 3 7" xfId="5222"/>
    <cellStyle name="40% - 强调文字颜色 1 3 9" xfId="5223"/>
    <cellStyle name="40% - 强调文字颜色 1 4 10" xfId="5224"/>
    <cellStyle name="40% - 强调文字颜色 1 4 11" xfId="5225"/>
    <cellStyle name="常规 11 2 2" xfId="5226"/>
    <cellStyle name="40% - 强调文字颜色 1 4 2 2" xfId="5227"/>
    <cellStyle name="40% - 强调文字颜色 1 4 2 2 2" xfId="5228"/>
    <cellStyle name="40% - 强调文字颜色 1 4 2 2 2 2" xfId="5229"/>
    <cellStyle name="40% - 强调文字颜色 1 4 2 2 3" xfId="5230"/>
    <cellStyle name="40% - 强调文字颜色 1 4 2 3" xfId="5231"/>
    <cellStyle name="40% - 强调文字颜色 1 4 3" xfId="5232"/>
    <cellStyle name="40% - 强调文字颜色 1 4 3 2" xfId="5233"/>
    <cellStyle name="40% - 强调文字颜色 1 4 3 2 2" xfId="5234"/>
    <cellStyle name="40% - 强调文字颜色 1 4 3 2 2 2" xfId="5235"/>
    <cellStyle name="40% - 强调文字颜色 1 4 3 3" xfId="5236"/>
    <cellStyle name="40% - 强调文字颜色 1 4 3 3 2" xfId="5237"/>
    <cellStyle name="40% - 强调文字颜色 1 4 4" xfId="5238"/>
    <cellStyle name="40% - 强调文字颜色 1 4 4 2" xfId="5239"/>
    <cellStyle name="40% - 强调文字颜色 1 4 4 2 2" xfId="5240"/>
    <cellStyle name="40% - 强调文字颜色 1 4 4 3" xfId="5241"/>
    <cellStyle name="40% - 强调文字颜色 1 4 5" xfId="5242"/>
    <cellStyle name="40% - 强调文字颜色 1 4 5 2" xfId="5243"/>
    <cellStyle name="40% - 强调文字颜色 1 4 6 2" xfId="5244"/>
    <cellStyle name="40% - 强调文字颜色 1 4 7" xfId="5245"/>
    <cellStyle name="40% - 强调文字颜色 1 4 8" xfId="5246"/>
    <cellStyle name="40% - 强调文字颜色 1 4 9" xfId="5247"/>
    <cellStyle name="强调文字颜色 4 4 2 2" xfId="5248"/>
    <cellStyle name="40% - 强调文字颜色 1 5 2" xfId="5249"/>
    <cellStyle name="40% - 强调文字颜色 1 5 2 2" xfId="5250"/>
    <cellStyle name="适中 10 10" xfId="5251"/>
    <cellStyle name="40% - 强调文字颜色 1 5 2 2 2" xfId="5252"/>
    <cellStyle name="40% - 强调文字颜色 1 5 2 2 2 2" xfId="5253"/>
    <cellStyle name="40% - 强调文字颜色 1 5 2 2 3" xfId="5254"/>
    <cellStyle name="40% - 强调文字颜色 1 5 2 3" xfId="5255"/>
    <cellStyle name="适中 10 11" xfId="5256"/>
    <cellStyle name="40% - 强调文字颜色 1 5 2 3 2" xfId="5257"/>
    <cellStyle name="40% - 强调文字颜色 1 5 3 2 2 2" xfId="5258"/>
    <cellStyle name="40% - 强调文字颜色 4 10 2 2 3" xfId="5259"/>
    <cellStyle name="40% - 强调文字颜色 1 5 3 3" xfId="5260"/>
    <cellStyle name="60% - 强调文字颜色 5 11 2 2 3" xfId="5261"/>
    <cellStyle name="40% - 强调文字颜色 4 10 2 3 2" xfId="5262"/>
    <cellStyle name="40% - 强调文字颜色 1 5 4 2" xfId="5263"/>
    <cellStyle name="60% - 强调文字颜色 5 11 2 3 2" xfId="5264"/>
    <cellStyle name="40% - 强调文字颜色 1 5 4 3" xfId="5265"/>
    <cellStyle name="40% - 强调文字颜色 4 10 2 4" xfId="5266"/>
    <cellStyle name="千位分隔[0] 2 2 2 2" xfId="5267"/>
    <cellStyle name="40% - 强调文字颜色 1 5 5" xfId="5268"/>
    <cellStyle name="60% - 强调文字颜色 5 11 2 4" xfId="5269"/>
    <cellStyle name="输入 2 4 2 2" xfId="5270"/>
    <cellStyle name="40% - 强调文字颜色 1 5 5 2" xfId="5271"/>
    <cellStyle name="40% - 强调文字颜色 4 10 2 5" xfId="5272"/>
    <cellStyle name="千位分隔[0] 2 2 2 3" xfId="5273"/>
    <cellStyle name="40% - 强调文字颜色 1 5 6" xfId="5274"/>
    <cellStyle name="60% - 强调文字颜色 5 11 2 5" xfId="5275"/>
    <cellStyle name="40% - 强调文字颜色 1 5 6 2" xfId="5276"/>
    <cellStyle name="40% - 强调文字颜色 1 5 7" xfId="5277"/>
    <cellStyle name="差 3 3 2 2" xfId="5278"/>
    <cellStyle name="40% - 强调文字颜色 1 5 8" xfId="5279"/>
    <cellStyle name="40% - 强调文字颜色 1 5 9" xfId="5280"/>
    <cellStyle name="强调文字颜色 4 4 3 2" xfId="5281"/>
    <cellStyle name="40% - 强调文字颜色 1 6" xfId="5282"/>
    <cellStyle name="常规 7 14 2" xfId="5283"/>
    <cellStyle name="40% - 强调文字颜色 1 6 10" xfId="5284"/>
    <cellStyle name="40% - 强调文字颜色 1 6 11" xfId="5285"/>
    <cellStyle name="40% - 强调文字颜色 1 6 12" xfId="5286"/>
    <cellStyle name="40% - 强调文字颜色 1 6 2 2 2" xfId="5287"/>
    <cellStyle name="40% - 强调文字颜色 1 6 2 2 2 2" xfId="5288"/>
    <cellStyle name="40% - 强调文字颜色 1 6 2 2 3" xfId="5289"/>
    <cellStyle name="40% - 强调文字颜色 1 6 2 5" xfId="5290"/>
    <cellStyle name="40% - 强调文字颜色 6 6 2" xfId="5291"/>
    <cellStyle name="40% - 强调文字颜色 4 10 3 2 2" xfId="5292"/>
    <cellStyle name="强调文字颜色 1 2 2 2 3" xfId="5293"/>
    <cellStyle name="40% - 强调文字颜色 1 6 3 2" xfId="5294"/>
    <cellStyle name="60% - 强调文字颜色 5 11 3 2 2" xfId="5295"/>
    <cellStyle name="40% - 强调文字颜色 4 10 3 2 2 2" xfId="5296"/>
    <cellStyle name="强调文字颜色 3 7 11" xfId="5297"/>
    <cellStyle name="40% - 强调文字颜色 1 6 3 2 2" xfId="5298"/>
    <cellStyle name="60% - 强调文字颜色 1 13 3" xfId="5299"/>
    <cellStyle name="60% - 强调文字颜色 5 11 3 2 2 2" xfId="5300"/>
    <cellStyle name="40% - 强调文字颜色 1 6 3 2 2 2" xfId="5301"/>
    <cellStyle name="60% - 强调文字颜色 1 13 3 2" xfId="5302"/>
    <cellStyle name="40% - 强调文字颜色 1 6 3 4" xfId="5303"/>
    <cellStyle name="40% - 强调文字颜色 1 6 4 2 2" xfId="5304"/>
    <cellStyle name="40% - 强调文字颜色 1 6 4 3" xfId="5305"/>
    <cellStyle name="40% - 强调文字颜色 4 10 3 4" xfId="5306"/>
    <cellStyle name="千位分隔[0] 2 2 3 2" xfId="5307"/>
    <cellStyle name="40% - 强调文字颜色 1 6 5" xfId="5308"/>
    <cellStyle name="60% - 强调文字颜色 5 11 3 4" xfId="5309"/>
    <cellStyle name="输入 2 4 3 2" xfId="5310"/>
    <cellStyle name="40% - 强调文字颜色 1 6 5 2" xfId="5311"/>
    <cellStyle name="40% - 强调文字颜色 1 6 6" xfId="5312"/>
    <cellStyle name="40% - 强调文字颜色 1 6 6 2" xfId="5313"/>
    <cellStyle name="40% - 强调文字颜色 1 6 8" xfId="5314"/>
    <cellStyle name="40% - 强调文字颜色 1 6 9" xfId="5315"/>
    <cellStyle name="强调文字颜色 4 4 4 2" xfId="5316"/>
    <cellStyle name="40% - 强调文字颜色 1 7 10" xfId="5317"/>
    <cellStyle name="40% - 强调文字颜色 1 7 11" xfId="5318"/>
    <cellStyle name="标题 1 3 4 2" xfId="5319"/>
    <cellStyle name="40% - 强调文字颜色 1 7 12" xfId="5320"/>
    <cellStyle name="40% - 强调文字颜色 1 7 2 2 2" xfId="5321"/>
    <cellStyle name="百分比 4 3 2" xfId="5322"/>
    <cellStyle name="40% - 强调文字颜色 1 7 2 2 2 2" xfId="5323"/>
    <cellStyle name="百分比 4 3 2 2" xfId="5324"/>
    <cellStyle name="40% - 强调文字颜色 1 7 2 2 3" xfId="5325"/>
    <cellStyle name="百分比 4 3 3" xfId="5326"/>
    <cellStyle name="40% - 强调文字颜色 4 10 4 2 2" xfId="5327"/>
    <cellStyle name="常规 2 3 7" xfId="5328"/>
    <cellStyle name="40% - 强调文字颜色 3 10 2 3" xfId="5329"/>
    <cellStyle name="常规 4 3 14" xfId="5330"/>
    <cellStyle name="40% - 强调文字颜色 1 7 3 2" xfId="5331"/>
    <cellStyle name="60% - 强调文字颜色 5 11 4 2 2" xfId="5332"/>
    <cellStyle name="百分比 5 3" xfId="5333"/>
    <cellStyle name="40% - 强调文字颜色 4 10 4 3" xfId="5334"/>
    <cellStyle name="40% - 强调文字颜色 1 7 4" xfId="5335"/>
    <cellStyle name="60% - 强调文字颜色 5 11 4 3" xfId="5336"/>
    <cellStyle name="40% - 强调文字颜色 3 10 3 3 2" xfId="5337"/>
    <cellStyle name="40% - 强调文字颜色 1 7 4 2 2" xfId="5338"/>
    <cellStyle name="40% - 强调文字颜色 3 10 3 4" xfId="5339"/>
    <cellStyle name="40% - 强调文字颜色 1 7 4 3" xfId="5340"/>
    <cellStyle name="40% - 强调文字颜色 3 10 4 3" xfId="5341"/>
    <cellStyle name="40% - 强调文字颜色 1 7 5 2" xfId="5342"/>
    <cellStyle name="计算 11 13" xfId="5343"/>
    <cellStyle name="40% - 强调文字颜色 1 7 6 2" xfId="5344"/>
    <cellStyle name="40% - 强调文字颜色 1 7 7" xfId="5345"/>
    <cellStyle name="40% - 强调文字颜色 1 7 8" xfId="5346"/>
    <cellStyle name="40% - 强调文字颜色 1 7 9" xfId="5347"/>
    <cellStyle name="强调文字颜色 4 4 5 2" xfId="5348"/>
    <cellStyle name="40% - 强调文字颜色 1 8" xfId="5349"/>
    <cellStyle name="40% - 强调文字颜色 1 8 10" xfId="5350"/>
    <cellStyle name="常规 2 2 11 3" xfId="5351"/>
    <cellStyle name="40% - 强调文字颜色 1 8 11" xfId="5352"/>
    <cellStyle name="常规 2 2 11 4" xfId="5353"/>
    <cellStyle name="40% - 强调文字颜色 1 8 12" xfId="5354"/>
    <cellStyle name="40% - 强调文字颜色 4 10 5 2" xfId="5355"/>
    <cellStyle name="40% - 强调文字颜色 1 8 3" xfId="5356"/>
    <cellStyle name="60% - 强调文字颜色 5 11 5 2" xfId="5357"/>
    <cellStyle name="40% - 强调文字颜色 1 8 4" xfId="5358"/>
    <cellStyle name="40% - 强调文字颜色 1 8 6" xfId="5359"/>
    <cellStyle name="40% - 强调文字颜色 1 8 6 2" xfId="5360"/>
    <cellStyle name="40% - 强调文字颜色 1 8 8" xfId="5361"/>
    <cellStyle name="40% - 强调文字颜色 1 9 10" xfId="5362"/>
    <cellStyle name="常规 2 2 16 3" xfId="5363"/>
    <cellStyle name="40% - 强调文字颜色 1 9 11" xfId="5364"/>
    <cellStyle name="常规 12 2 2" xfId="5365"/>
    <cellStyle name="常规 2 2 16 4" xfId="5366"/>
    <cellStyle name="40% - 强调文字颜色 1 9 12" xfId="5367"/>
    <cellStyle name="常规 12 2 3" xfId="5368"/>
    <cellStyle name="40% - 强调文字颜色 1 9 2" xfId="5369"/>
    <cellStyle name="40% - 强调文字颜色 1 9 2 2" xfId="5370"/>
    <cellStyle name="标题 4 3 2 2 3" xfId="5371"/>
    <cellStyle name="好 12 9" xfId="5372"/>
    <cellStyle name="40% - 强调文字颜色 3 5" xfId="5373"/>
    <cellStyle name="40% - 强调文字颜色 1 9 2 2 2" xfId="5374"/>
    <cellStyle name="Comma,2" xfId="5375"/>
    <cellStyle name="注释 18 4" xfId="5376"/>
    <cellStyle name="40% - 强调文字颜色 3 5 2" xfId="5377"/>
    <cellStyle name="40% - 强调文字颜色 1 9 2 2 2 2" xfId="5378"/>
    <cellStyle name="60% - 强调文字颜色 4 5 7" xfId="5379"/>
    <cellStyle name="注释 18 4 2" xfId="5380"/>
    <cellStyle name="40% - 强调文字颜色 3 6" xfId="5381"/>
    <cellStyle name="40% - 强调文字颜色 1 9 2 2 3" xfId="5382"/>
    <cellStyle name="注释 18 5" xfId="5383"/>
    <cellStyle name="40% - 强调文字颜色 4 10 6 2" xfId="5384"/>
    <cellStyle name="40% - 强调文字颜色 1 9 3" xfId="5385"/>
    <cellStyle name="60% - 强调文字颜色 5 11 6 2" xfId="5386"/>
    <cellStyle name="40% - 强调文字颜色 1 9 3 2 2 2" xfId="5387"/>
    <cellStyle name="40% - 强调文字颜色 1 9 6 2" xfId="5388"/>
    <cellStyle name="40% - 强调文字颜色 1 9 9" xfId="5389"/>
    <cellStyle name="强调文字颜色 4 4 7 2" xfId="5390"/>
    <cellStyle name="40% - 强调文字颜色 2 10" xfId="5391"/>
    <cellStyle name="40% - 强调文字颜色 2 10 11" xfId="5392"/>
    <cellStyle name="40% - 强调文字颜色 4 6 3 4" xfId="5393"/>
    <cellStyle name="40% - 强调文字颜色 2 10 12" xfId="5394"/>
    <cellStyle name="40% - 强调文字颜色 2 10 2" xfId="5395"/>
    <cellStyle name="40% - 强调文字颜色 2 10 2 2" xfId="5396"/>
    <cellStyle name="输出 8 6 3" xfId="5397"/>
    <cellStyle name="40% - 强调文字颜色 2 10 2 2 2" xfId="5398"/>
    <cellStyle name="输出 8 6 3 2" xfId="5399"/>
    <cellStyle name="40% - 强调文字颜色 2 10 2 2 3" xfId="5400"/>
    <cellStyle name="40% - 强调文字颜色 2 10 2 3" xfId="5401"/>
    <cellStyle name="常规 8 5 2" xfId="5402"/>
    <cellStyle name="输出 8 6 4" xfId="5403"/>
    <cellStyle name="40% - 强调文字颜色 2 10 2 3 2" xfId="5404"/>
    <cellStyle name="40% - 强调文字颜色 2 10 2 5" xfId="5405"/>
    <cellStyle name="40% - 强调文字颜色 6 6 4 2" xfId="5406"/>
    <cellStyle name="常规 8 5 4" xfId="5407"/>
    <cellStyle name="输出 8 6 6" xfId="5408"/>
    <cellStyle name="40% - 强调文字颜色 2 10 3" xfId="5409"/>
    <cellStyle name="40% - 强调文字颜色 2 10 3 2" xfId="5410"/>
    <cellStyle name="60% - 强调文字颜色 1 12 2 4" xfId="5411"/>
    <cellStyle name="40% - 强调文字颜色 2 10 3 2 2" xfId="5412"/>
    <cellStyle name="40% - 强调文字颜色 2 10 3 2 2 2" xfId="5413"/>
    <cellStyle name="40% - 强调文字颜色 2 10 3 2 3" xfId="5414"/>
    <cellStyle name="40% - 强调文字颜色 2 10 4" xfId="5415"/>
    <cellStyle name="汇总 7 3 2" xfId="5416"/>
    <cellStyle name="40% - 强调文字颜色 2 10 4 2" xfId="5417"/>
    <cellStyle name="60% - 强调文字颜色 1 12 3 4" xfId="5418"/>
    <cellStyle name="40% - 强调文字颜色 3 10 3" xfId="5419"/>
    <cellStyle name="40% - 强调文字颜色 2 10 4 2 2" xfId="5420"/>
    <cellStyle name="40% - 强调文字颜色 2 10 4 3" xfId="5421"/>
    <cellStyle name="40% - 强调文字颜色 2 10 5" xfId="5422"/>
    <cellStyle name="40% - 强调文字颜色 2 10 5 2" xfId="5423"/>
    <cellStyle name="60% - 强调文字颜色 5 3 3 2 3" xfId="5424"/>
    <cellStyle name="40% - 强调文字颜色 2 10 6" xfId="5425"/>
    <cellStyle name="40% - 强调文字颜色 2 10 6 2" xfId="5426"/>
    <cellStyle name="40% - 强调文字颜色 2 10 7" xfId="5427"/>
    <cellStyle name="强调文字颜色 6 3 5 2" xfId="5428"/>
    <cellStyle name="40% - 强调文字颜色 2 9 2 2 2 2" xfId="5429"/>
    <cellStyle name="40% - 强调文字颜色 2 10 8" xfId="5430"/>
    <cellStyle name="40% - 强调文字颜色 2 10 9" xfId="5431"/>
    <cellStyle name="40% - 强调文字颜色 2 2" xfId="5432"/>
    <cellStyle name="40% - 强调文字颜色 2 5 4 3" xfId="5433"/>
    <cellStyle name="40% - 强调文字颜色 2 2 11" xfId="5434"/>
    <cellStyle name="标题 1 7 4 2" xfId="5435"/>
    <cellStyle name="40% - 强调文字颜色 2 2 12" xfId="5436"/>
    <cellStyle name="40% - 强调文字颜色 2 2 2" xfId="5437"/>
    <cellStyle name="40% - 强调文字颜色 2 2 2 2" xfId="5438"/>
    <cellStyle name="40% - 强调文字颜色 2 7 11" xfId="5439"/>
    <cellStyle name="标题 1 8 4 2" xfId="5440"/>
    <cellStyle name="40% - 强调文字颜色 2 6 4 3" xfId="5441"/>
    <cellStyle name="强调文字颜色 6 10 3 3" xfId="5442"/>
    <cellStyle name="40% - 强调文字颜色 2 2 2 2 2 3 2" xfId="5443"/>
    <cellStyle name="输出 2 3 2 2" xfId="5444"/>
    <cellStyle name="40% - 强调文字颜色 2 8 3 2 2" xfId="5445"/>
    <cellStyle name="强调文字颜色 6 12 2 2 2" xfId="5446"/>
    <cellStyle name="40% - 强调文字颜色 2 2 2 3" xfId="5447"/>
    <cellStyle name="40% - 强调文字颜色 2 8 3 2 3" xfId="5448"/>
    <cellStyle name="40% - 强调文字颜色 2 2 2 4" xfId="5449"/>
    <cellStyle name="40% - 强调文字颜色 2 2 2 6" xfId="5450"/>
    <cellStyle name="40% - 强调文字颜色 2 2 3" xfId="5451"/>
    <cellStyle name="40% - 强调文字颜色 2 2 3 2" xfId="5452"/>
    <cellStyle name="40% - 强调文字颜色 2 8 3 3 2" xfId="5453"/>
    <cellStyle name="40% - 强调文字颜色 2 2 3 3" xfId="5454"/>
    <cellStyle name="强调文字颜色 3 14 2 2" xfId="5455"/>
    <cellStyle name="40% - 强调文字颜色 2 2 3 4" xfId="5456"/>
    <cellStyle name="40% - 强调文字颜色 2 2 4" xfId="5457"/>
    <cellStyle name="40% - 强调文字颜色 2 2 4 2" xfId="5458"/>
    <cellStyle name="40% - 强调文字颜色 2 2 4 3" xfId="5459"/>
    <cellStyle name="40% - 强调文字颜色 2 2 4 4" xfId="5460"/>
    <cellStyle name="40% - 强调文字颜色 2 2 5 2" xfId="5461"/>
    <cellStyle name="40% - 强调文字颜色 2 2 5 2 2" xfId="5462"/>
    <cellStyle name="40% - 强调文字颜色 2 2 5 3" xfId="5463"/>
    <cellStyle name="40% - 强调文字颜色 2 3" xfId="5464"/>
    <cellStyle name="40% - 强调文字颜色 2 3 12" xfId="5465"/>
    <cellStyle name="40% - 强调文字颜色 2 3 2" xfId="5466"/>
    <cellStyle name="40% - 强调文字颜色 3 13 13" xfId="5467"/>
    <cellStyle name="40% - 强调文字颜色 2 3 2 4" xfId="5468"/>
    <cellStyle name="解释性文本 3" xfId="5469"/>
    <cellStyle name="40% - 强调文字颜色 2 3 3" xfId="5470"/>
    <cellStyle name="40% - 强调文字颜色 2 3 3 2" xfId="5471"/>
    <cellStyle name="40% - 强调文字颜色 2 3 3 3" xfId="5472"/>
    <cellStyle name="40% - 强调文字颜色 2 3 3 4" xfId="5473"/>
    <cellStyle name="40% - 强调文字颜色 2 3 4" xfId="5474"/>
    <cellStyle name="40% - 强调文字颜色 2 3 5" xfId="5475"/>
    <cellStyle name="40% - 强调文字颜色 2 3 5 2" xfId="5476"/>
    <cellStyle name="40% - 强调文字颜色 2 3 6 2" xfId="5477"/>
    <cellStyle name="40% - 强调文字颜色 2 4 11" xfId="5478"/>
    <cellStyle name="百分比 3 6 2" xfId="5479"/>
    <cellStyle name="标题 8" xfId="5480"/>
    <cellStyle name="常规 16 2 2" xfId="5481"/>
    <cellStyle name="40% - 强调文字颜色 2 4 12" xfId="5482"/>
    <cellStyle name="标题 9" xfId="5483"/>
    <cellStyle name="常规 16 2 3" xfId="5484"/>
    <cellStyle name="40% - 强调文字颜色 2 4 2" xfId="5485"/>
    <cellStyle name="40% - 强调文字颜色 2 4 2 2 2 2" xfId="5486"/>
    <cellStyle name="汇总 4 12" xfId="5487"/>
    <cellStyle name="40% - 强调文字颜色 2 4 3" xfId="5488"/>
    <cellStyle name="40% - 强调文字颜色 2 4 3 2" xfId="5489"/>
    <cellStyle name="标题 12" xfId="5490"/>
    <cellStyle name="40% - 强调文字颜色 2 4 3 2 2 2" xfId="5491"/>
    <cellStyle name="标题 12 2 2" xfId="5492"/>
    <cellStyle name="40% - 强调文字颜色 2 4 3 3" xfId="5493"/>
    <cellStyle name="标题 13" xfId="5494"/>
    <cellStyle name="40% - 强调文字颜色 2 4 3 4" xfId="5495"/>
    <cellStyle name="标题 14" xfId="5496"/>
    <cellStyle name="40% - 强调文字颜色 2 4 4" xfId="5497"/>
    <cellStyle name="40% - 强调文字颜色 2 4 4 2" xfId="5498"/>
    <cellStyle name="40% - 强调文字颜色 2 4 4 2 2" xfId="5499"/>
    <cellStyle name="40% - 强调文字颜色 2 4 4 3" xfId="5500"/>
    <cellStyle name="40% - 强调文字颜色 2 4 5" xfId="5501"/>
    <cellStyle name="40% - 强调文字颜色 6 10 2 2" xfId="5502"/>
    <cellStyle name="40% - 强调文字颜色 2 4 5 2" xfId="5503"/>
    <cellStyle name="40% - 强调文字颜色 6 10 2 2 2" xfId="5504"/>
    <cellStyle name="40% - 强调文字颜色 2 4 6 2" xfId="5505"/>
    <cellStyle name="40% - 强调文字颜色 6 10 2 3 2" xfId="5506"/>
    <cellStyle name="40% - 强调文字颜色 2 5 10" xfId="5507"/>
    <cellStyle name="40% - 强调文字颜色 2 5 2" xfId="5508"/>
    <cellStyle name="40% - 强调文字颜色 2 5 2 2 2" xfId="5509"/>
    <cellStyle name="40% - 强调文字颜色 2 5 2 2 2 2" xfId="5510"/>
    <cellStyle name="40% - 强调文字颜色 2 5 2 3" xfId="5511"/>
    <cellStyle name="40% - 强调文字颜色 2 5 2 4" xfId="5512"/>
    <cellStyle name="40% - 强调文字颜色 2 5 2 5" xfId="5513"/>
    <cellStyle name="40% - 强调文字颜色 2 5 3 2 2 2" xfId="5514"/>
    <cellStyle name="40% - 强调文字颜色 2 5 3 2 3" xfId="5515"/>
    <cellStyle name="40% - 强调文字颜色 2 5 3 4" xfId="5516"/>
    <cellStyle name="40% - 强调文字颜色 2 5 4 2 2" xfId="5517"/>
    <cellStyle name="40% - 强调文字颜色 2 6 2 2 2" xfId="5518"/>
    <cellStyle name="输出 11 15" xfId="5519"/>
    <cellStyle name="40% - 强调文字颜色 3 8 10" xfId="5520"/>
    <cellStyle name="40% - 强调文字颜色 2 6 2 2 2 2" xfId="5521"/>
    <cellStyle name="Comma  - Style8" xfId="5522"/>
    <cellStyle name="适中 13 8" xfId="5523"/>
    <cellStyle name="输出 11 15 2" xfId="5524"/>
    <cellStyle name="40% - 强调文字颜色 2 6 2 2 3" xfId="5525"/>
    <cellStyle name="输出 11 16" xfId="5526"/>
    <cellStyle name="40% - 强调文字颜色 2 6 2 5" xfId="5527"/>
    <cellStyle name="40% - 强调文字颜色 2 6 3 2 2 2" xfId="5528"/>
    <cellStyle name="40% - 强调文字颜色 2 6 3 2 3" xfId="5529"/>
    <cellStyle name="警告文本 5 7" xfId="5530"/>
    <cellStyle name="40% - 强调文字颜色 2 6 3 3 2" xfId="5531"/>
    <cellStyle name="常规 16 13" xfId="5532"/>
    <cellStyle name="警告文本 6 6" xfId="5533"/>
    <cellStyle name="40% - 强调文字颜色 2 6 3 4" xfId="5534"/>
    <cellStyle name="强调文字颜色 6 10 2 4" xfId="5535"/>
    <cellStyle name="40% - 强调文字颜色 2 6 6" xfId="5536"/>
    <cellStyle name="40% - 强调文字颜色 6 10 4 3" xfId="5537"/>
    <cellStyle name="强调文字颜色 6 10 5" xfId="5538"/>
    <cellStyle name="40% - 强调文字颜色 2 6 6 2" xfId="5539"/>
    <cellStyle name="强调文字颜色 6 10 5 2" xfId="5540"/>
    <cellStyle name="40% - 强调文字颜色 2 7 12" xfId="5541"/>
    <cellStyle name="40% - 强调文字颜色 2 7 2 2 2 2" xfId="5542"/>
    <cellStyle name="60% - 强调文字颜色 6 3 11" xfId="5543"/>
    <cellStyle name="40% - 强调文字颜色 2 7 2 5" xfId="5544"/>
    <cellStyle name="40% - 强调文字颜色 2 7 3 4" xfId="5545"/>
    <cellStyle name="强调文字颜色 6 11 2 4" xfId="5546"/>
    <cellStyle name="40% - 强调文字颜色 2 7 4 2" xfId="5547"/>
    <cellStyle name="强调文字颜色 6 11 3 2" xfId="5548"/>
    <cellStyle name="40% - 强调文字颜色 2 7 4 3" xfId="5549"/>
    <cellStyle name="强调文字颜色 6 11 3 3" xfId="5550"/>
    <cellStyle name="40% - 强调文字颜色 2 7 5" xfId="5551"/>
    <cellStyle name="40% - 强调文字颜色 6 10 5 2" xfId="5552"/>
    <cellStyle name="强调文字颜色 6 11 4" xfId="5553"/>
    <cellStyle name="40% - 强调文字颜色 2 7 5 2" xfId="5554"/>
    <cellStyle name="强调文字颜色 6 11 4 2" xfId="5555"/>
    <cellStyle name="40% - 强调文字颜色 2 7 6" xfId="5556"/>
    <cellStyle name="强调文字颜色 6 11 5" xfId="5557"/>
    <cellStyle name="40% - 强调文字颜色 2 7 6 2" xfId="5558"/>
    <cellStyle name="强调文字颜色 6 11 5 2" xfId="5559"/>
    <cellStyle name="40% - 强调文字颜色 2 8 12" xfId="5560"/>
    <cellStyle name="40% - 强调文字颜色 2 8 2 2 2" xfId="5561"/>
    <cellStyle name="40% - 强调文字颜色 2 8 2 2 3" xfId="5562"/>
    <cellStyle name="40% - 强调文字颜色 2 8 2 3 2" xfId="5563"/>
    <cellStyle name="40% - 强调文字颜色 2 8 2 4" xfId="5564"/>
    <cellStyle name="注释 9 3 3 2" xfId="5565"/>
    <cellStyle name="40% - 强调文字颜色 2 8 2 5" xfId="5566"/>
    <cellStyle name="40% - 强调文字颜色 2 8 3 2" xfId="5567"/>
    <cellStyle name="强调文字颜色 6 12 2 2" xfId="5568"/>
    <cellStyle name="40% - 强调文字颜色 2 8 3 3" xfId="5569"/>
    <cellStyle name="强调文字颜色 6 12 2 3" xfId="5570"/>
    <cellStyle name="40% - 强调文字颜色 2 8 3 4" xfId="5571"/>
    <cellStyle name="强调文字颜色 6 12 2 4" xfId="5572"/>
    <cellStyle name="40% - 强调文字颜色 2 8 4" xfId="5573"/>
    <cellStyle name="强调文字颜色 6 12 3" xfId="5574"/>
    <cellStyle name="40% - 强调文字颜色 2 8 4 3" xfId="5575"/>
    <cellStyle name="差 13 2 2 2" xfId="5576"/>
    <cellStyle name="强调文字颜色 6 12 3 3" xfId="5577"/>
    <cellStyle name="40% - 强调文字颜色 2 8 5" xfId="5578"/>
    <cellStyle name="40% - 强调文字颜色 6 10 6 2" xfId="5579"/>
    <cellStyle name="强调文字颜色 6 12 4" xfId="5580"/>
    <cellStyle name="40% - 强调文字颜色 2 8 5 2" xfId="5581"/>
    <cellStyle name="强调文字颜色 6 12 4 2" xfId="5582"/>
    <cellStyle name="40% - 强调文字颜色 2 8 6" xfId="5583"/>
    <cellStyle name="强调文字颜色 6 12 5" xfId="5584"/>
    <cellStyle name="40% - 强调文字颜色 2 8 6 2" xfId="5585"/>
    <cellStyle name="强调文字颜色 6 12 5 2" xfId="5586"/>
    <cellStyle name="40% - 强调文字颜色 2 9 12" xfId="5587"/>
    <cellStyle name="40% - 强调文字颜色 2 9 2 2 3" xfId="5588"/>
    <cellStyle name="60% - 强调文字颜色 6 9 9" xfId="5589"/>
    <cellStyle name="40% - 强调文字颜色 2 9 3 2" xfId="5590"/>
    <cellStyle name="强调文字颜色 6 13 2 2" xfId="5591"/>
    <cellStyle name="40% - 强调文字颜色 3 2 2 3" xfId="5592"/>
    <cellStyle name="40% - 强调文字颜色 2 9 3 2 2" xfId="5593"/>
    <cellStyle name="强调文字颜色 6 13 2 2 2" xfId="5594"/>
    <cellStyle name="40% - 强调文字颜色 3 2 2 4" xfId="5595"/>
    <cellStyle name="40% - 强调文字颜色 2 9 3 2 3" xfId="5596"/>
    <cellStyle name="40% - 强调文字颜色 3 10 3 2 2 2" xfId="5597"/>
    <cellStyle name="40% - 强调文字颜色 2 9 3 3" xfId="5598"/>
    <cellStyle name="强调文字颜色 6 13 2 3" xfId="5599"/>
    <cellStyle name="40% - 强调文字颜色 3 2 3 3" xfId="5600"/>
    <cellStyle name="40% - 强调文字颜色 2 9 3 3 2" xfId="5601"/>
    <cellStyle name="40% - 强调文字颜色 2 9 3 4" xfId="5602"/>
    <cellStyle name="强调文字颜色 6 13 2 4" xfId="5603"/>
    <cellStyle name="40% - 强调文字颜色 2 9 6 2" xfId="5604"/>
    <cellStyle name="强调文字颜色 6 13 5 2" xfId="5605"/>
    <cellStyle name="40% - 强调文字颜色 3 10" xfId="5606"/>
    <cellStyle name="40% - 强调文字颜色 3 10 2" xfId="5607"/>
    <cellStyle name="40% - 强调文字颜色 3 10 2 2" xfId="5608"/>
    <cellStyle name="常规 4 3 13" xfId="5609"/>
    <cellStyle name="40% - 强调文字颜色 3 10 3 2 2" xfId="5610"/>
    <cellStyle name="检查单元格 3 11" xfId="5611"/>
    <cellStyle name="40% - 强调文字颜色 3 10 3 2 3" xfId="5612"/>
    <cellStyle name="差 13 3 2" xfId="5613"/>
    <cellStyle name="检查单元格 3 12" xfId="5614"/>
    <cellStyle name="40% - 强调文字颜色 3 10 4" xfId="5615"/>
    <cellStyle name="40% - 强调文字颜色 3 10 4 2 2" xfId="5616"/>
    <cellStyle name="检查单元格 8 11" xfId="5617"/>
    <cellStyle name="40% - 强调文字颜色 3 10 5 2" xfId="5618"/>
    <cellStyle name="60% - 强调文字颜色 5 8 3 2 3" xfId="5619"/>
    <cellStyle name="40% - 强调文字颜色 3 10 6" xfId="5620"/>
    <cellStyle name="40% - 强调文字颜色 3 10 8" xfId="5621"/>
    <cellStyle name="40% - 强调文字颜色 3 10 9" xfId="5622"/>
    <cellStyle name="40% - 强调文字颜色 3 4 11" xfId="5623"/>
    <cellStyle name="40% - 强调文字颜色 3 3 3 2 2" xfId="5624"/>
    <cellStyle name="40% - 强调文字颜色 3 2" xfId="5625"/>
    <cellStyle name="40% - 强调文字颜色 3 2 12" xfId="5626"/>
    <cellStyle name="40% - 强调文字颜色 3 3 3 2 2 2" xfId="5627"/>
    <cellStyle name="60% - 强调文字颜色 4 2 7" xfId="5628"/>
    <cellStyle name="40% - 强调文字颜色 3 2 2" xfId="5629"/>
    <cellStyle name="40% - 强调文字颜色 3 2 2 2" xfId="5630"/>
    <cellStyle name="40% - 强调文字颜色 3 4 4" xfId="5631"/>
    <cellStyle name="40% - 强调文字颜色 3 2 2 2 2" xfId="5632"/>
    <cellStyle name="计算 10 2 3" xfId="5633"/>
    <cellStyle name="注释 5 7" xfId="5634"/>
    <cellStyle name="40% - 强调文字颜色 3 4 4 2" xfId="5635"/>
    <cellStyle name="40% - 强调文字颜色 3 2 2 2 2 2" xfId="5636"/>
    <cellStyle name="计算 10 2 3 2" xfId="5637"/>
    <cellStyle name="注释 5 7 2" xfId="5638"/>
    <cellStyle name="40% - 强调文字颜色 3 4 4 2 2" xfId="5639"/>
    <cellStyle name="40% - 强调文字颜色 3 2 2 2 2 2 2" xfId="5640"/>
    <cellStyle name="检查单元格 3 6" xfId="5641"/>
    <cellStyle name="40% - 强调文字颜色 3 4 4 3" xfId="5642"/>
    <cellStyle name="40% - 强调文字颜色 3 2 2 2 2 3" xfId="5643"/>
    <cellStyle name="标题 2 6 4 2" xfId="5644"/>
    <cellStyle name="40% - 强调文字颜色 3 2 2 2 2 3 2" xfId="5645"/>
    <cellStyle name="检查单元格 4 6" xfId="5646"/>
    <cellStyle name="40% - 强调文字颜色 3 2 2 2 2 4" xfId="5647"/>
    <cellStyle name="60% - 强调文字颜色 4 10" xfId="5648"/>
    <cellStyle name="40% - 强调文字颜色 3 2 2 6" xfId="5649"/>
    <cellStyle name="百分比 2 2 2 2" xfId="5650"/>
    <cellStyle name="40% - 强调文字颜色 3 2 3" xfId="5651"/>
    <cellStyle name="40% - 强调文字颜色 3 2 3 2" xfId="5652"/>
    <cellStyle name="40% - 强调文字颜色 3 2 3 2 2" xfId="5653"/>
    <cellStyle name="计算 11 2 3" xfId="5654"/>
    <cellStyle name="40% - 强调文字颜色 3 2 3 4" xfId="5655"/>
    <cellStyle name="40% - 强调文字颜色 3 2 4" xfId="5656"/>
    <cellStyle name="40% - 强调文字颜色 3 2 4 2" xfId="5657"/>
    <cellStyle name="40% - 强调文字颜色 3 2 4 2 2" xfId="5658"/>
    <cellStyle name="计算 12 2 3" xfId="5659"/>
    <cellStyle name="40% - 强调文字颜色 3 2 4 3" xfId="5660"/>
    <cellStyle name="40% - 强调文字颜色 3 2 4 4" xfId="5661"/>
    <cellStyle name="40% - 强调文字颜色 3 2 5" xfId="5662"/>
    <cellStyle name="40% - 强调文字颜色 3 2 5 2" xfId="5663"/>
    <cellStyle name="40% - 强调文字颜色 3 2 5 3" xfId="5664"/>
    <cellStyle name="40% - 强调文字颜色 3 4 12" xfId="5665"/>
    <cellStyle name="40% - 强调文字颜色 3 3 3 2 3" xfId="5666"/>
    <cellStyle name="Comma,0" xfId="5667"/>
    <cellStyle name="注释 18 2" xfId="5668"/>
    <cellStyle name="注释 23 2" xfId="5669"/>
    <cellStyle name="40% - 强调文字颜色 3 3" xfId="5670"/>
    <cellStyle name="40% - 强调文字颜色 3 3 10" xfId="5671"/>
    <cellStyle name="40% - 强调文字颜色 3 3 11" xfId="5672"/>
    <cellStyle name="40% - 强调文字颜色 3 3 12" xfId="5673"/>
    <cellStyle name="40% - 强调文字颜色 3 3 2" xfId="5674"/>
    <cellStyle name="40% - 强调文字颜色 3 3 2 2 2" xfId="5675"/>
    <cellStyle name="40% - 强调文字颜色 3 3 2 2 3" xfId="5676"/>
    <cellStyle name="40% - 强调文字颜色 3 3 2 3 2" xfId="5677"/>
    <cellStyle name="40% - 强调文字颜色 3 3 2 4" xfId="5678"/>
    <cellStyle name="40% - 强调文字颜色 3 3 3" xfId="5679"/>
    <cellStyle name="40% - 强调文字颜色 3 3 4" xfId="5680"/>
    <cellStyle name="40% - 强调文字颜色 3 3 4 2" xfId="5681"/>
    <cellStyle name="40% - 强调文字颜色 3 9 11" xfId="5682"/>
    <cellStyle name="40% - 强调文字颜色 3 3 4 2 2" xfId="5683"/>
    <cellStyle name="40% - 强调文字颜色 3 3 4 3" xfId="5684"/>
    <cellStyle name="40% - 强调文字颜色 3 3 5" xfId="5685"/>
    <cellStyle name="40% - 强调文字颜色 3 3 5 2" xfId="5686"/>
    <cellStyle name="40% - 强调文字颜色 3 3 6 2" xfId="5687"/>
    <cellStyle name="40% - 强调文字颜色 3 4 10" xfId="5688"/>
    <cellStyle name="标题 4 9 3 2 2" xfId="5689"/>
    <cellStyle name="40% - 强调文字颜色 3 4 2" xfId="5690"/>
    <cellStyle name="40% - 强调文字颜色 3 4 2 5" xfId="5691"/>
    <cellStyle name="40% - 强调文字颜色 3 4 3" xfId="5692"/>
    <cellStyle name="40% - 强调文字颜色 3 4 3 2" xfId="5693"/>
    <cellStyle name="40% - 强调文字颜色 3 4 3 2 2 2" xfId="5694"/>
    <cellStyle name="好 9 2 3" xfId="5695"/>
    <cellStyle name="40% - 强调文字颜色 3 4 3 2 3" xfId="5696"/>
    <cellStyle name="60% - 强调文字颜色 1 7 3 2" xfId="5697"/>
    <cellStyle name="40% - 强调文字颜色 3 4 3 3 2" xfId="5698"/>
    <cellStyle name="40% - 强调文字颜色 3 4 3 4" xfId="5699"/>
    <cellStyle name="40% - 强调文字颜色 3 5 10" xfId="5700"/>
    <cellStyle name="40% - 强调文字颜色 3 5 11" xfId="5701"/>
    <cellStyle name="40% - 强调文字颜色 3 5 12" xfId="5702"/>
    <cellStyle name="40% - 强调文字颜色 3 5 2 3" xfId="5703"/>
    <cellStyle name="40% - 强调文字颜色 3 5 2 3 2" xfId="5704"/>
    <cellStyle name="40% - 强调文字颜色 3 5 2 4" xfId="5705"/>
    <cellStyle name="40% - 强调文字颜色 3 5 3 2 3" xfId="5706"/>
    <cellStyle name="60% - 强调文字颜色 2 7 3 2" xfId="5707"/>
    <cellStyle name="常规 4 2 14" xfId="5708"/>
    <cellStyle name="40% - 强调文字颜色 3 5 3 3 2" xfId="5709"/>
    <cellStyle name="40% - 强调文字颜色 3 5 3 4" xfId="5710"/>
    <cellStyle name="40% - 强调文字颜色 3 5 4 2 2" xfId="5711"/>
    <cellStyle name="표준_0N-HANDLING " xfId="5712"/>
    <cellStyle name="40% - 强调文字颜色 3 5 4 3" xfId="5713"/>
    <cellStyle name="40% - 强调文字颜色 3 6 10" xfId="5714"/>
    <cellStyle name="常规 3 2 3 2 3" xfId="5715"/>
    <cellStyle name="40% - 强调文字颜色 3 6 11" xfId="5716"/>
    <cellStyle name="40% - 强调文字颜色 3 6 12" xfId="5717"/>
    <cellStyle name="输出 11 2 4 2" xfId="5718"/>
    <cellStyle name="40% - 强调文字颜色 3 6 2 2 2" xfId="5719"/>
    <cellStyle name="40% - 强调文字颜色 3 6 2 2 2 2" xfId="5720"/>
    <cellStyle name="40% - 强调文字颜色 3 6 2 2 3" xfId="5721"/>
    <cellStyle name="60% - 强调文字颜色 3 6 3 2" xfId="5722"/>
    <cellStyle name="40% - 强调文字颜色 3 8 12" xfId="5723"/>
    <cellStyle name="40% - 强调文字颜色 3 6 3 2 2 2" xfId="5724"/>
    <cellStyle name="强调文字颜色 1 5 11" xfId="5725"/>
    <cellStyle name="40% - 强调文字颜色 3 6 3 2 3" xfId="5726"/>
    <cellStyle name="60% - 强调文字颜色 3 7 3 2" xfId="5727"/>
    <cellStyle name="40% - 强调文字颜色 3 6 3 3 2" xfId="5728"/>
    <cellStyle name="40% - 强调文字颜色 3 6 4 2 2" xfId="5729"/>
    <cellStyle name="注释 10 14" xfId="5730"/>
    <cellStyle name="40% - 强调文字颜色 3 6 4 3" xfId="5731"/>
    <cellStyle name="40% - 强调文字颜色 3 6 6 2" xfId="5732"/>
    <cellStyle name="常规 6 2 13" xfId="5733"/>
    <cellStyle name="40% - 强调文字颜色 3 7 11" xfId="5734"/>
    <cellStyle name="40% - 强调文字颜色 3 7 12" xfId="5735"/>
    <cellStyle name="40% - 强调文字颜色 3 7 2 2 2" xfId="5736"/>
    <cellStyle name="40% - 强调文字颜色 3 7 2 5" xfId="5737"/>
    <cellStyle name="40% - 强调文字颜色 3 7 3 2 2" xfId="5738"/>
    <cellStyle name="40% - 强调文字颜色 3 7 3 2 2 2" xfId="5739"/>
    <cellStyle name="40% - 强调文字颜色 3 7 3 4" xfId="5740"/>
    <cellStyle name="40% - 强调文字颜色 3 7 4 2" xfId="5741"/>
    <cellStyle name="40% - 强调文字颜色 3 7 4 2 2" xfId="5742"/>
    <cellStyle name="强调文字颜色 4 5 12" xfId="5743"/>
    <cellStyle name="40% - 强调文字颜色 3 7 4 3" xfId="5744"/>
    <cellStyle name="40% - 强调文字颜色 3 7 6 2" xfId="5745"/>
    <cellStyle name="40% - 强调文字颜色 3 8 11" xfId="5746"/>
    <cellStyle name="适中 13 9" xfId="5747"/>
    <cellStyle name="40% - 强调文字颜色 3 8 2 2 2" xfId="5748"/>
    <cellStyle name="40% - 强调文字颜色 3 8 2 2 2 2" xfId="5749"/>
    <cellStyle name="40% - 强调文字颜色 3 8 2 2 3" xfId="5750"/>
    <cellStyle name="60% - 强调文字颜色 5 6 3 2" xfId="5751"/>
    <cellStyle name="40% - 强调文字颜色 3 8 2 3 2" xfId="5752"/>
    <cellStyle name="40% - 强调文字颜色 3 8 2 4" xfId="5753"/>
    <cellStyle name="40% - 强调文字颜色 3 8 2 5" xfId="5754"/>
    <cellStyle name="40% - 强调文字颜色 3 8 3 2" xfId="5755"/>
    <cellStyle name="40% - 强调文字颜色 3 8 3 2 2" xfId="5756"/>
    <cellStyle name="40% - 强调文字颜色 3 8 3 2 2 2" xfId="5757"/>
    <cellStyle name="40% - 强调文字颜色 3 8 3 2 3" xfId="5758"/>
    <cellStyle name="60% - 强调文字颜色 5 7 3 2" xfId="5759"/>
    <cellStyle name="40% - 强调文字颜色 3 8 3 3" xfId="5760"/>
    <cellStyle name="40% - 强调文字颜色 3 8 3 3 2" xfId="5761"/>
    <cellStyle name="40% - 强调文字颜色 3 8 3 4" xfId="5762"/>
    <cellStyle name="40% - 强调文字颜色 3 8 4 2" xfId="5763"/>
    <cellStyle name="40% - 强调文字颜色 3 8 4 2 2" xfId="5764"/>
    <cellStyle name="40% - 强调文字颜色 3 8 4 3" xfId="5765"/>
    <cellStyle name="差 14 2 2 2" xfId="5766"/>
    <cellStyle name="40% - 强调文字颜色 3 8 5 2" xfId="5767"/>
    <cellStyle name="40% - 强调文字颜色 3 9 10" xfId="5768"/>
    <cellStyle name="40% - 强调文字颜色 3 9 12" xfId="5769"/>
    <cellStyle name="40% - 强调文字颜色 3 9 2 2 2" xfId="5770"/>
    <cellStyle name="40% - 强调文字颜色 3 9 2 2 2 2" xfId="5771"/>
    <cellStyle name="40% - 强调文字颜色 3 9 2 2 3" xfId="5772"/>
    <cellStyle name="60% - 强调文字颜色 6 6 3 2" xfId="5773"/>
    <cellStyle name="40% - 强调文字颜色 3 9 2 3" xfId="5774"/>
    <cellStyle name="40% - 强调文字颜色 3 9 2 3 2" xfId="5775"/>
    <cellStyle name="40% - 强调文字颜色 3 9 2 4" xfId="5776"/>
    <cellStyle name="40% - 强调文字颜色 3 9 2 5" xfId="5777"/>
    <cellStyle name="40% - 强调文字颜色 3 9 3 2 2 2" xfId="5778"/>
    <cellStyle name="40% - 强调文字颜色 3 9 3 3" xfId="5779"/>
    <cellStyle name="40% - 强调文字颜色 3 9 3 4" xfId="5780"/>
    <cellStyle name="40% - 强调文字颜色 3 9 6 2" xfId="5781"/>
    <cellStyle name="常规 10 6" xfId="5782"/>
    <cellStyle name="40% - 强调文字颜色 4 10 10" xfId="5783"/>
    <cellStyle name="40% - 强调文字颜色 6 6 3 3" xfId="5784"/>
    <cellStyle name="常规 8 4 5" xfId="5785"/>
    <cellStyle name="40% - 强调文字颜色 4 10 12" xfId="5786"/>
    <cellStyle name="40% - 强调文字颜色 4 10 6" xfId="5787"/>
    <cellStyle name="40% - 强调文字颜色 4 10 8" xfId="5788"/>
    <cellStyle name="40% - 强调文字颜色 4 10 9" xfId="5789"/>
    <cellStyle name="40% - 强调文字颜色 4 13" xfId="5790"/>
    <cellStyle name="60% - 强调文字颜色 3 3 3 2 3" xfId="5791"/>
    <cellStyle name="40% - 强调文字颜色 4 13 10" xfId="5792"/>
    <cellStyle name="40% - 强调文字颜色 4 13 11" xfId="5793"/>
    <cellStyle name="40% - 强调文字颜色 4 13 12" xfId="5794"/>
    <cellStyle name="40% - 强调文字颜色 4 13 13" xfId="5795"/>
    <cellStyle name="40% - 强调文字颜色 4 13 2" xfId="5796"/>
    <cellStyle name="40% - 强调文字颜色 4 13 2 2" xfId="5797"/>
    <cellStyle name="常规 105 2 3" xfId="5798"/>
    <cellStyle name="40% - 强调文字颜色 4 13 2 2 2" xfId="5799"/>
    <cellStyle name="40% - 强调文字颜色 4 13 2 2 2 2" xfId="5800"/>
    <cellStyle name="40% - 强调文字颜色 6 11 3 2 3" xfId="5801"/>
    <cellStyle name="40% - 强调文字颜色 4 13 2 2 3" xfId="5802"/>
    <cellStyle name="40% - 强调文字颜色 4 13 2 3" xfId="5803"/>
    <cellStyle name="40% - 强调文字颜色 4 13 2 3 2" xfId="5804"/>
    <cellStyle name="40% - 强调文字颜色 4 13 3" xfId="5805"/>
    <cellStyle name="解释性文本 5 2 2 2" xfId="5806"/>
    <cellStyle name="40% - 强调文字颜色 4 13 3 2" xfId="5807"/>
    <cellStyle name="40% - 强调文字颜色 4 13 3 2 2" xfId="5808"/>
    <cellStyle name="40% - 强调文字颜色 4 13 3 2 2 2" xfId="5809"/>
    <cellStyle name="40% - 强调文字颜色 6 12 3 2 3" xfId="5810"/>
    <cellStyle name="40% - 强调文字颜色 4 13 3 2 3" xfId="5811"/>
    <cellStyle name="40% - 强调文字颜色 4 13 3 3" xfId="5812"/>
    <cellStyle name="40% - 强调文字颜色 4 13 3 3 2" xfId="5813"/>
    <cellStyle name="40% - 强调文字颜色 4 13 4" xfId="5814"/>
    <cellStyle name="40% - 强调文字颜色 4 13 4 2" xfId="5815"/>
    <cellStyle name="40% - 强调文字颜色 4 13 4 2 2" xfId="5816"/>
    <cellStyle name="40% - 强调文字颜色 4 13 4 3" xfId="5817"/>
    <cellStyle name="40% - 强调文字颜色 4 13 5" xfId="5818"/>
    <cellStyle name="40% - 强调文字颜色 4 13 5 2" xfId="5819"/>
    <cellStyle name="40% - 强调文字颜色 4 13 6" xfId="5820"/>
    <cellStyle name="标题 2 2 2" xfId="5821"/>
    <cellStyle name="40% - 强调文字颜色 4 13 6 2" xfId="5822"/>
    <cellStyle name="标题 2 2 2 2" xfId="5823"/>
    <cellStyle name="40% - 强调文字颜色 4 13 7" xfId="5824"/>
    <cellStyle name="标题 2 2 3" xfId="5825"/>
    <cellStyle name="40% - 强调文字颜色 4 13 7 2" xfId="5826"/>
    <cellStyle name="标题 2 2 3 2" xfId="5827"/>
    <cellStyle name="40% - 强调文字颜色 4 13 8" xfId="5828"/>
    <cellStyle name="标题 2 2 4" xfId="5829"/>
    <cellStyle name="40% - 强调文字颜色 4 13 9" xfId="5830"/>
    <cellStyle name="标题 2 2 5" xfId="5831"/>
    <cellStyle name="40% - 强调文字颜色 4 14" xfId="5832"/>
    <cellStyle name="40% - 强调文字颜色 4 14 2" xfId="5833"/>
    <cellStyle name="40% - 强调文字颜色 4 14 2 2" xfId="5834"/>
    <cellStyle name="常规 111 2 3" xfId="5835"/>
    <cellStyle name="40% - 强调文字颜色 4 14 2 2 2" xfId="5836"/>
    <cellStyle name="强调文字颜色 6 4 3" xfId="5837"/>
    <cellStyle name="40% - 强调文字颜色 4 14 2 3" xfId="5838"/>
    <cellStyle name="40% - 强调文字颜色 4 14 3" xfId="5839"/>
    <cellStyle name="40% - 强调文字颜色 4 14 3 2" xfId="5840"/>
    <cellStyle name="40% - 强调文字颜色 6 6 11" xfId="5841"/>
    <cellStyle name="注释 2 2 3" xfId="5842"/>
    <cellStyle name="40% - 强调文字颜色 4 14 4" xfId="5843"/>
    <cellStyle name="40% - 强调文字颜色 4 15" xfId="5844"/>
    <cellStyle name="60% - 强调文字颜色 1 9 2 2 2" xfId="5845"/>
    <cellStyle name="40% - 强调文字颜色 4 15 2" xfId="5846"/>
    <cellStyle name="60% - 强调文字颜色 1 9 2 2 2 2" xfId="5847"/>
    <cellStyle name="常规 9 11" xfId="5848"/>
    <cellStyle name="40% - 强调文字颜色 4 15 2 2" xfId="5849"/>
    <cellStyle name="常规 112 2 3" xfId="5850"/>
    <cellStyle name="40% - 强调文字颜色 4 15 3" xfId="5851"/>
    <cellStyle name="常规 9 12" xfId="5852"/>
    <cellStyle name="40% - 强调文字颜色 4 16" xfId="5853"/>
    <cellStyle name="60% - 强调文字颜色 1 9 2 2 3" xfId="5854"/>
    <cellStyle name="40% - 强调文字颜色 4 16 2" xfId="5855"/>
    <cellStyle name="好 13 2 2 3" xfId="5856"/>
    <cellStyle name="40% - 强调文字颜色 4 17" xfId="5857"/>
    <cellStyle name="60% - 强调文字颜色 6 4 2 2 2 2" xfId="5858"/>
    <cellStyle name="强调文字颜色 2 15 2" xfId="5859"/>
    <cellStyle name="40% - 强调文字颜色 4 2" xfId="5860"/>
    <cellStyle name="计算 6 2 5" xfId="5861"/>
    <cellStyle name="40% - 强调文字颜色 4 2 10" xfId="5862"/>
    <cellStyle name="40% - 强调文字颜色 4 2 11" xfId="5863"/>
    <cellStyle name="40% - 强调文字颜色 4 2 12" xfId="5864"/>
    <cellStyle name="计算 12 10" xfId="5865"/>
    <cellStyle name="40% - 强调文字颜色 4 2 2" xfId="5866"/>
    <cellStyle name="40% - 强调文字颜色 4 2 2 2" xfId="5867"/>
    <cellStyle name="40% - 强调文字颜色 4 2 2 2 2" xfId="5868"/>
    <cellStyle name="40% - 强调文字颜色 4 2 2 2 2 2" xfId="5869"/>
    <cellStyle name="40% - 强调文字颜色 4 2 2 2 2 2 2" xfId="5870"/>
    <cellStyle name="40% - 强调文字颜色 4 2 2 2 2 3" xfId="5871"/>
    <cellStyle name="40% - 强调文字颜色 4 2 2 2 2 3 2" xfId="5872"/>
    <cellStyle name="40% - 强调文字颜色 4 2 2 2 2 4" xfId="5873"/>
    <cellStyle name="40% - 强调文字颜色 4 2 2 2 3" xfId="5874"/>
    <cellStyle name="40% - 强调文字颜色 4 2 2 2 3 2" xfId="5875"/>
    <cellStyle name="40% - 强调文字颜色 4 2 2 2 4" xfId="5876"/>
    <cellStyle name="40% - 强调文字颜色 4 2 2 3" xfId="5877"/>
    <cellStyle name="40% - 强调文字颜色 4 2 2 3 2" xfId="5878"/>
    <cellStyle name="40% - 强调文字颜色 4 2 2 3 2 2" xfId="5879"/>
    <cellStyle name="40% - 强调文字颜色 4 2 2 3 3" xfId="5880"/>
    <cellStyle name="40% - 强调文字颜色 4 2 2 4" xfId="5881"/>
    <cellStyle name="40% - 强调文字颜色 4 2 2 4 2" xfId="5882"/>
    <cellStyle name="40% - 强调文字颜色 4 2 2 5" xfId="5883"/>
    <cellStyle name="40% - 强调文字颜色 4 2 2 6" xfId="5884"/>
    <cellStyle name="百分比 3 2 2 2" xfId="5885"/>
    <cellStyle name="40% - 强调文字颜色 4 2 3" xfId="5886"/>
    <cellStyle name="40% - 强调文字颜色 4 2 3 2" xfId="5887"/>
    <cellStyle name="40% - 强调文字颜色 4 2 3 2 2" xfId="5888"/>
    <cellStyle name="40% - 强调文字颜色 4 2 3 2 2 2" xfId="5889"/>
    <cellStyle name="40% - 强调文字颜色 4 2 3 2 3" xfId="5890"/>
    <cellStyle name="40% - 强调文字颜色 4 2 3 3" xfId="5891"/>
    <cellStyle name="40% - 强调文字颜色 4 2 3 3 2" xfId="5892"/>
    <cellStyle name="40% - 强调文字颜色 4 2 3 4" xfId="5893"/>
    <cellStyle name="40% - 强调文字颜色 4 2 3 5" xfId="5894"/>
    <cellStyle name="40% - 强调文字颜色 4 2 4" xfId="5895"/>
    <cellStyle name="40% - 强调文字颜色 4 2 4 2" xfId="5896"/>
    <cellStyle name="40% - 强调文字颜色 4 2 4 2 2" xfId="5897"/>
    <cellStyle name="40% - 强调文字颜色 4 2 4 2 2 2" xfId="5898"/>
    <cellStyle name="常规 2 2 3" xfId="5899"/>
    <cellStyle name="输出 2 3 5" xfId="5900"/>
    <cellStyle name="40% - 强调文字颜色 4 2 4 2 3" xfId="5901"/>
    <cellStyle name="40% - 强调文字颜色 4 2 4 3" xfId="5902"/>
    <cellStyle name="40% - 强调文字颜色 4 2 4 3 2" xfId="5903"/>
    <cellStyle name="40% - 强调文字颜色 4 2 4 4" xfId="5904"/>
    <cellStyle name="40% - 强调文字颜色 4 2 4 5" xfId="5905"/>
    <cellStyle name="40% - 强调文字颜色 4 2 5" xfId="5906"/>
    <cellStyle name="40% - 强调文字颜色 4 2 5 2" xfId="5907"/>
    <cellStyle name="40% - 强调文字颜色 4 2 5 2 2" xfId="5908"/>
    <cellStyle name="40% - 强调文字颜色 4 2 5 3" xfId="5909"/>
    <cellStyle name="40% - 强调文字颜色 4 2 6" xfId="5910"/>
    <cellStyle name="40% - 强调文字颜色 4 2 6 2" xfId="5911"/>
    <cellStyle name="40% - 强调文字颜色 4 2 7" xfId="5912"/>
    <cellStyle name="40% - 强调文字颜色 4 2 7 2" xfId="5913"/>
    <cellStyle name="40% - 强调文字颜色 4 2 8" xfId="5914"/>
    <cellStyle name="40% - 强调文字颜色 4 2 9" xfId="5915"/>
    <cellStyle name="40% - 强调文字颜色 4 3" xfId="5916"/>
    <cellStyle name="计算 6 2 6" xfId="5917"/>
    <cellStyle name="40% - 强调文字颜色 4 3 10" xfId="5918"/>
    <cellStyle name="40% - 强调文字颜色 4 3 11" xfId="5919"/>
    <cellStyle name="40% - 强调文字颜色 4 3 12" xfId="5920"/>
    <cellStyle name="计算 13 10" xfId="5921"/>
    <cellStyle name="40% - 强调文字颜色 4 3 2" xfId="5922"/>
    <cellStyle name="40% - 强调文字颜色 4 3 2 2" xfId="5923"/>
    <cellStyle name="Header2 2 14" xfId="5924"/>
    <cellStyle name="40% - 强调文字颜色 4 3 2 2 2" xfId="5925"/>
    <cellStyle name="60% - 强调文字颜色 5 9 5" xfId="5926"/>
    <cellStyle name="Header2 2 14 2" xfId="5927"/>
    <cellStyle name="40% - 强调文字颜色 4 3 2 2 2 2" xfId="5928"/>
    <cellStyle name="60% - 强调文字颜色 5 9 5 2" xfId="5929"/>
    <cellStyle name="40% - 强调文字颜色 4 3 2 3" xfId="5930"/>
    <cellStyle name="Header2 2 15" xfId="5931"/>
    <cellStyle name="40% - 强调文字颜色 4 3 2 3 2" xfId="5932"/>
    <cellStyle name="Header2 2 15 2" xfId="5933"/>
    <cellStyle name="40% - 强调文字颜色 4 3 2 4" xfId="5934"/>
    <cellStyle name="Header2 2 16" xfId="5935"/>
    <cellStyle name="40% - 强调文字颜色 4 3 2 5" xfId="5936"/>
    <cellStyle name="Header2 2 17" xfId="5937"/>
    <cellStyle name="40% - 强调文字颜色 4 3 3" xfId="5938"/>
    <cellStyle name="40% - 强调文字颜色 4 3 3 2" xfId="5939"/>
    <cellStyle name="40% - 强调文字颜色 4 3 3 2 2" xfId="5940"/>
    <cellStyle name="60% - 强调文字颜色 6 9 5" xfId="5941"/>
    <cellStyle name="强调文字颜色 4 10 7" xfId="5942"/>
    <cellStyle name="40% - 强调文字颜色 4 3 3 2 2 2" xfId="5943"/>
    <cellStyle name="60% - 强调文字颜色 6 9 5 2" xfId="5944"/>
    <cellStyle name="强调文字颜色 4 10 7 2" xfId="5945"/>
    <cellStyle name="40% - 强调文字颜色 4 3 3 2 3" xfId="5946"/>
    <cellStyle name="60% - 强调文字颜色 6 9 6" xfId="5947"/>
    <cellStyle name="强调文字颜色 4 10 8" xfId="5948"/>
    <cellStyle name="40% - 强调文字颜色 4 3 3 3" xfId="5949"/>
    <cellStyle name="40% - 强调文字颜色 4 3 3 3 2" xfId="5950"/>
    <cellStyle name="强调文字颜色 4 11 7" xfId="5951"/>
    <cellStyle name="40% - 强调文字颜色 4 3 3 4" xfId="5952"/>
    <cellStyle name="40% - 强调文字颜色 4 3 4" xfId="5953"/>
    <cellStyle name="40% - 强调文字颜色 4 3 4 2" xfId="5954"/>
    <cellStyle name="40% - 强调文字颜色 4 3 4 2 2" xfId="5955"/>
    <cellStyle name="40% - 强调文字颜色 4 3 4 3" xfId="5956"/>
    <cellStyle name="40% - 强调文字颜色 4 3 5" xfId="5957"/>
    <cellStyle name="40% - 强调文字颜色 4 3 5 2" xfId="5958"/>
    <cellStyle name="40% - 强调文字颜色 4 3 6" xfId="5959"/>
    <cellStyle name="40% - 强调文字颜色 4 3 6 2" xfId="5960"/>
    <cellStyle name="40% - 强调文字颜色 4 3 7" xfId="5961"/>
    <cellStyle name="40% - 强调文字颜色 4 3 8" xfId="5962"/>
    <cellStyle name="40% - 强调文字颜色 4 3 9" xfId="5963"/>
    <cellStyle name="40% - 强调文字颜色 4 4" xfId="5964"/>
    <cellStyle name="40% - 强调文字颜色 4 4 10" xfId="5965"/>
    <cellStyle name="40% - 强调文字颜色 4 4 11" xfId="5966"/>
    <cellStyle name="强调文字颜色 2 8 2 2 2" xfId="5967"/>
    <cellStyle name="40% - 强调文字颜色 4 4 12" xfId="5968"/>
    <cellStyle name="40% - 强调文字颜色 4 4 2" xfId="5969"/>
    <cellStyle name="40% - 强调文字颜色 4 4 2 2" xfId="5970"/>
    <cellStyle name="40% - 强调文字颜色 4 4 2 2 2" xfId="5971"/>
    <cellStyle name="适中 13 2 4" xfId="5972"/>
    <cellStyle name="40% - 强调文字颜色 4 4 2 2 2 2" xfId="5973"/>
    <cellStyle name="40% - 强调文字颜色 4 4 2 2 3" xfId="5974"/>
    <cellStyle name="差_12账龄分析 4 2" xfId="5975"/>
    <cellStyle name="40% - 强调文字颜色 4 4 2 3" xfId="5976"/>
    <cellStyle name="40% - 强调文字颜色 4 4 2 3 2" xfId="5977"/>
    <cellStyle name="40% - 强调文字颜色 4 4 2 4" xfId="5978"/>
    <cellStyle name="40% - 强调文字颜色 4 4 2 5" xfId="5979"/>
    <cellStyle name="40% - 强调文字颜色 4 4 3" xfId="5980"/>
    <cellStyle name="常规 6 3 10" xfId="5981"/>
    <cellStyle name="40% - 强调文字颜色 4 4 3 2" xfId="5982"/>
    <cellStyle name="40% - 强调文字颜色 4 4 3 2 2" xfId="5983"/>
    <cellStyle name="60% - 强调文字颜色 1 4" xfId="5984"/>
    <cellStyle name="40% - 强调文字颜色 4 4 3 2 2 2" xfId="5985"/>
    <cellStyle name="60% - 强调文字颜色 1 4 2" xfId="5986"/>
    <cellStyle name="40% - 强调文字颜色 4 4 3 2 3" xfId="5987"/>
    <cellStyle name="60% - 强调文字颜色 1 5" xfId="5988"/>
    <cellStyle name="40% - 强调文字颜色 4 4 3 3" xfId="5989"/>
    <cellStyle name="40% - 强调文字颜色 4 4 3 3 2" xfId="5990"/>
    <cellStyle name="60% - 强调文字颜色 2 4" xfId="5991"/>
    <cellStyle name="40% - 强调文字颜色 4 4 3 4" xfId="5992"/>
    <cellStyle name="40% - 强调文字颜色 4 4 4" xfId="5993"/>
    <cellStyle name="常规 6 3 11" xfId="5994"/>
    <cellStyle name="40% - 强调文字颜色 4 4 4 2" xfId="5995"/>
    <cellStyle name="40% - 强调文字颜色 4 4 4 2 2" xfId="5996"/>
    <cellStyle name="40% - 强调文字颜色 4 4 4 3" xfId="5997"/>
    <cellStyle name="40% - 强调文字颜色 4 4 5" xfId="5998"/>
    <cellStyle name="40% - 强调文字颜色 6 12 2 2" xfId="5999"/>
    <cellStyle name="常规 6 3 12" xfId="6000"/>
    <cellStyle name="40% - 强调文字颜色 4 4 5 2" xfId="6001"/>
    <cellStyle name="40% - 强调文字颜色 6 12 2 2 2" xfId="6002"/>
    <cellStyle name="40% - 强调文字颜色 4 4 6" xfId="6003"/>
    <cellStyle name="40% - 强调文字颜色 6 12 2 3" xfId="6004"/>
    <cellStyle name="常规 6 3 13" xfId="6005"/>
    <cellStyle name="40% - 强调文字颜色 4 4 6 2" xfId="6006"/>
    <cellStyle name="40% - 强调文字颜色 6 12 2 3 2" xfId="6007"/>
    <cellStyle name="40% - 强调文字颜色 4 4 7" xfId="6008"/>
    <cellStyle name="40% - 强调文字颜色 6 12 2 4" xfId="6009"/>
    <cellStyle name="40% - 强调文字颜色 4 4 8" xfId="6010"/>
    <cellStyle name="40% - 强调文字颜色 6 12 2 5" xfId="6011"/>
    <cellStyle name="40% - 强调文字颜色 4 4 9" xfId="6012"/>
    <cellStyle name="强调文字颜色 4 7 2 2" xfId="6013"/>
    <cellStyle name="40% - 强调文字颜色 4 5" xfId="6014"/>
    <cellStyle name="60% - 强调文字颜色 6 12 2 2 2" xfId="6015"/>
    <cellStyle name="40% - 强调文字颜色 4 5 10" xfId="6016"/>
    <cellStyle name="标题 2 6 6" xfId="6017"/>
    <cellStyle name="40% - 强调文字颜色 4 5 11" xfId="6018"/>
    <cellStyle name="40% - 强调文字颜色 4 5 12" xfId="6019"/>
    <cellStyle name="60% - 强调文字颜色 2 6 2 2 2" xfId="6020"/>
    <cellStyle name="40% - 强调文字颜色 4 5 2" xfId="6021"/>
    <cellStyle name="60% - 强调文字颜色 6 12 2 2 2 2" xfId="6022"/>
    <cellStyle name="40% - 强调文字颜色 4 5 2 2" xfId="6023"/>
    <cellStyle name="40% - 强调文字颜色 4 5 2 2 2" xfId="6024"/>
    <cellStyle name="40% - 强调文字颜色 4 5 2 2 2 2" xfId="6025"/>
    <cellStyle name="40% - 强调文字颜色 4 5 2 2 3" xfId="6026"/>
    <cellStyle name="40% - 强调文字颜色 4 5 2 3" xfId="6027"/>
    <cellStyle name="40% - 强调文字颜色 4 5 2 3 2" xfId="6028"/>
    <cellStyle name="40% - 强调文字颜色 4 5 2 4" xfId="6029"/>
    <cellStyle name="40% - 强调文字颜色 4 5 2 5" xfId="6030"/>
    <cellStyle name="40% - 强调文字颜色 4 5 3" xfId="6031"/>
    <cellStyle name="60% - 强调文字颜色 5 14 2 2" xfId="6032"/>
    <cellStyle name="40% - 强调文字颜色 4 5 3 2" xfId="6033"/>
    <cellStyle name="60% - 强调文字颜色 5 14 2 2 2" xfId="6034"/>
    <cellStyle name="检查单元格 8" xfId="6035"/>
    <cellStyle name="40% - 强调文字颜色 4 5 3 2 2" xfId="6036"/>
    <cellStyle name="检查单元格 8 2" xfId="6037"/>
    <cellStyle name="40% - 强调文字颜色 4 5 3 2 2 2" xfId="6038"/>
    <cellStyle name="检查单元格 8 2 2" xfId="6039"/>
    <cellStyle name="40% - 强调文字颜色 4 5 3 3" xfId="6040"/>
    <cellStyle name="检查单元格 9" xfId="6041"/>
    <cellStyle name="40% - 强调文字颜色 4 5 3 3 2" xfId="6042"/>
    <cellStyle name="检查单元格 9 2" xfId="6043"/>
    <cellStyle name="40% - 强调文字颜色 4 5 3 4" xfId="6044"/>
    <cellStyle name="40% - 强调文字颜色 4 5 4" xfId="6045"/>
    <cellStyle name="60% - 强调文字颜色 5 14 2 3" xfId="6046"/>
    <cellStyle name="40% - 强调文字颜色 4 5 4 2" xfId="6047"/>
    <cellStyle name="40% - 强调文字颜色 4 5 4 2 2" xfId="6048"/>
    <cellStyle name="40% - 强调文字颜色 4 5 4 3" xfId="6049"/>
    <cellStyle name="40% - 强调文字颜色 4 5 5" xfId="6050"/>
    <cellStyle name="40% - 强调文字颜色 6 12 3 2" xfId="6051"/>
    <cellStyle name="40% - 强调文字颜色 4 5 5 2" xfId="6052"/>
    <cellStyle name="40% - 强调文字颜色 6 12 3 2 2" xfId="6053"/>
    <cellStyle name="40% - 强调文字颜色 4 5 6" xfId="6054"/>
    <cellStyle name="40% - 强调文字颜色 6 12 3 3" xfId="6055"/>
    <cellStyle name="40% - 强调文字颜色 4 5 6 2" xfId="6056"/>
    <cellStyle name="40% - 强调文字颜色 6 12 3 3 2" xfId="6057"/>
    <cellStyle name="40% - 强调文字颜色 4 5 7" xfId="6058"/>
    <cellStyle name="40% - 强调文字颜色 6 12 3 4" xfId="6059"/>
    <cellStyle name="40% - 强调文字颜色 4 5 8" xfId="6060"/>
    <cellStyle name="40% - 强调文字颜色 4 5 9" xfId="6061"/>
    <cellStyle name="强调文字颜色 4 7 3 2" xfId="6062"/>
    <cellStyle name="40% - 强调文字颜色 4 6" xfId="6063"/>
    <cellStyle name="60% - 强调文字颜色 6 12 2 2 3" xfId="6064"/>
    <cellStyle name="40% - 强调文字颜色 4 6 10" xfId="6065"/>
    <cellStyle name="输出 4 2 5 2" xfId="6066"/>
    <cellStyle name="40% - 强调文字颜色 4 6 11" xfId="6067"/>
    <cellStyle name="40% - 强调文字颜色 4 6 2 2" xfId="6068"/>
    <cellStyle name="40% - 强调文字颜色 4 6 2 2 2" xfId="6069"/>
    <cellStyle name="40% - 强调文字颜色 4 6 2 2 2 2" xfId="6070"/>
    <cellStyle name="40% - 强调文字颜色 4 6 2 2 3" xfId="6071"/>
    <cellStyle name="40% - 强调文字颜色 4 6 2 3 2" xfId="6072"/>
    <cellStyle name="40% - 强调文字颜色 4 6 2 4" xfId="6073"/>
    <cellStyle name="40% - 强调文字颜色 4 6 2 5" xfId="6074"/>
    <cellStyle name="40% - 强调文字颜色 4 6 3" xfId="6075"/>
    <cellStyle name="60% - 强调文字颜色 5 14 3 2" xfId="6076"/>
    <cellStyle name="40% - 强调文字颜色 4 6 3 2" xfId="6077"/>
    <cellStyle name="40% - 强调文字颜色 4 6 3 2 2" xfId="6078"/>
    <cellStyle name="40% - 强调文字颜色 4 6 3 2 2 2" xfId="6079"/>
    <cellStyle name="40% - 强调文字颜色 4 6 3 2 3" xfId="6080"/>
    <cellStyle name="40% - 强调文字颜色 4 6 3 3 2" xfId="6081"/>
    <cellStyle name="40% - 强调文字颜色 4 6 4" xfId="6082"/>
    <cellStyle name="40% - 强调文字颜色 4 6 4 2" xfId="6083"/>
    <cellStyle name="40% - 强调文字颜色 4 6 4 2 2" xfId="6084"/>
    <cellStyle name="40% - 强调文字颜色 4 6 4 3" xfId="6085"/>
    <cellStyle name="40% - 强调文字颜色 4 6 5" xfId="6086"/>
    <cellStyle name="40% - 强调文字颜色 6 12 4 2" xfId="6087"/>
    <cellStyle name="40% - 强调文字颜色 4 6 5 2" xfId="6088"/>
    <cellStyle name="40% - 强调文字颜色 6 12 4 2 2" xfId="6089"/>
    <cellStyle name="40% - 强调文字颜色 4 6 6" xfId="6090"/>
    <cellStyle name="40% - 强调文字颜色 6 12 4 3" xfId="6091"/>
    <cellStyle name="40% - 强调文字颜色 4 6 6 2" xfId="6092"/>
    <cellStyle name="40% - 强调文字颜色 4 7" xfId="6093"/>
    <cellStyle name="40% - 强调文字颜色 4 7 10" xfId="6094"/>
    <cellStyle name="输出 12 10 2" xfId="6095"/>
    <cellStyle name="40% - 强调文字颜色 4 7 11" xfId="6096"/>
    <cellStyle name="40% - 强调文字颜色 4 7 12" xfId="6097"/>
    <cellStyle name="40% - 强调文字颜色 4 7 2" xfId="6098"/>
    <cellStyle name="40% - 强调文字颜色 4 7 2 2" xfId="6099"/>
    <cellStyle name="40% - 强调文字颜色 4 7 2 2 2" xfId="6100"/>
    <cellStyle name="40% - 强调文字颜色 4 7 2 2 2 2" xfId="6101"/>
    <cellStyle name="40% - 强调文字颜色 4 7 2 2 3" xfId="6102"/>
    <cellStyle name="통화_BOILER-CO1" xfId="6103"/>
    <cellStyle name="40% - 强调文字颜色 4 7 2 3" xfId="6104"/>
    <cellStyle name="40% - 强调文字颜色 4 7 2 3 2" xfId="6105"/>
    <cellStyle name="40% - 强调文字颜色 4 7 2 4" xfId="6106"/>
    <cellStyle name="40% - 强调文字颜色 4 7 2 5" xfId="6107"/>
    <cellStyle name="40% - 强调文字颜色 4 7 3" xfId="6108"/>
    <cellStyle name="40% - 强调文字颜色 4 7 3 2" xfId="6109"/>
    <cellStyle name="40% - 强调文字颜色 4 7 3 2 2" xfId="6110"/>
    <cellStyle name="40% - 强调文字颜色 4 7 3 2 2 2" xfId="6111"/>
    <cellStyle name="40% - 强调文字颜色 4 7 3 2 3" xfId="6112"/>
    <cellStyle name="40% - 强调文字颜色 4 7 3 3" xfId="6113"/>
    <cellStyle name="40% - 强调文字颜色 4 7 3 3 2" xfId="6114"/>
    <cellStyle name="40% - 强调文字颜色 4 7 3 4" xfId="6115"/>
    <cellStyle name="40% - 强调文字颜色 4 7 4" xfId="6116"/>
    <cellStyle name="40% - 强调文字颜色 4 7 4 2" xfId="6117"/>
    <cellStyle name="40% - 强调文字颜色 4 7 4 2 2" xfId="6118"/>
    <cellStyle name="40% - 强调文字颜色 4 7 5" xfId="6119"/>
    <cellStyle name="40% - 强调文字颜色 6 12 5 2" xfId="6120"/>
    <cellStyle name="40% - 强调文字颜色 4 7 5 2" xfId="6121"/>
    <cellStyle name="40% - 强调文字颜色 4 7 6" xfId="6122"/>
    <cellStyle name="40% - 强调文字颜色 4 7 6 2" xfId="6123"/>
    <cellStyle name="强调文字颜色 1 5 12" xfId="6124"/>
    <cellStyle name="40% - 强调文字颜色 4 7 7" xfId="6125"/>
    <cellStyle name="60% - 强调文字颜色 4 4 4 2 2" xfId="6126"/>
    <cellStyle name="40% - 强调文字颜色 4 7 8" xfId="6127"/>
    <cellStyle name="40% - 强调文字颜色 4 7 9" xfId="6128"/>
    <cellStyle name="强调文字颜色 4 7 5 2" xfId="6129"/>
    <cellStyle name="40% - 强调文字颜色 4 8" xfId="6130"/>
    <cellStyle name="40% - 强调文字颜色 4 8 10" xfId="6131"/>
    <cellStyle name="输出 12 15 2" xfId="6132"/>
    <cellStyle name="40% - 强调文字颜色 4 8 11" xfId="6133"/>
    <cellStyle name="40% - 强调文字颜色 4 8 12" xfId="6134"/>
    <cellStyle name="40% - 强调文字颜色 4 8 2" xfId="6135"/>
    <cellStyle name="40% - 强调文字颜色 4 8 2 2" xfId="6136"/>
    <cellStyle name="40% - 强调文字颜色 4 8 2 2 2" xfId="6137"/>
    <cellStyle name="40% - 强调文字颜色 4 8 2 2 2 2" xfId="6138"/>
    <cellStyle name="40% - 强调文字颜色 4 8 2 3" xfId="6139"/>
    <cellStyle name="40% - 强调文字颜色 4 8 2 3 2" xfId="6140"/>
    <cellStyle name="40% - 强调文字颜色 4 8 2 4" xfId="6141"/>
    <cellStyle name="40% - 强调文字颜色 4 8 2 5" xfId="6142"/>
    <cellStyle name="40% - 强调文字颜色 4 8 3" xfId="6143"/>
    <cellStyle name="40% - 强调文字颜色 4 8 3 2" xfId="6144"/>
    <cellStyle name="40% - 强调文字颜色 4 8 3 2 2" xfId="6145"/>
    <cellStyle name="40% - 强调文字颜色 4 8 3 2 2 2" xfId="6146"/>
    <cellStyle name="40% - 强调文字颜色 4 8 3 2 3" xfId="6147"/>
    <cellStyle name="40% - 强调文字颜色 4 8 3 3" xfId="6148"/>
    <cellStyle name="40% - 强调文字颜色 4 8 3 3 2" xfId="6149"/>
    <cellStyle name="40% - 强调文字颜色 4 8 3 4" xfId="6150"/>
    <cellStyle name="40% - 强调文字颜色 4 8 4" xfId="6151"/>
    <cellStyle name="40% - 强调文字颜色 4 8 4 2" xfId="6152"/>
    <cellStyle name="40% - 强调文字颜色 4 8 4 2 2" xfId="6153"/>
    <cellStyle name="40% - 强调文字颜色 4 8 4 3" xfId="6154"/>
    <cellStyle name="40% - 强调文字颜色 4 8 5" xfId="6155"/>
    <cellStyle name="40% - 强调文字颜色 6 12 6 2" xfId="6156"/>
    <cellStyle name="40% - 强调文字颜色 4 8 5 2" xfId="6157"/>
    <cellStyle name="千位分隔[0] 2 2 4" xfId="6158"/>
    <cellStyle name="40% - 强调文字颜色 4 8 6" xfId="6159"/>
    <cellStyle name="40% - 强调文字颜色 4 8 6 2" xfId="6160"/>
    <cellStyle name="40% - 强调文字颜色 4 8 7" xfId="6161"/>
    <cellStyle name="捠壿 [0.00]_PRODUCT DETAIL Q1" xfId="6162"/>
    <cellStyle name="40% - 强调文字颜色 4 8 8" xfId="6163"/>
    <cellStyle name="40% - 强调文字颜色 4 8 9" xfId="6164"/>
    <cellStyle name="强调文字颜色 4 7 6 2" xfId="6165"/>
    <cellStyle name="40% - 强调文字颜色 4 9" xfId="6166"/>
    <cellStyle name="40% - 强调文字颜色 4 9 10" xfId="6167"/>
    <cellStyle name="40% - 强调文字颜色 4 9 11" xfId="6168"/>
    <cellStyle name="强调文字颜色 2 8 3 2 2" xfId="6169"/>
    <cellStyle name="40% - 强调文字颜色 4 9 12" xfId="6170"/>
    <cellStyle name="40% - 强调文字颜色 4 9 2" xfId="6171"/>
    <cellStyle name="40% - 强调文字颜色 4 9 2 2" xfId="6172"/>
    <cellStyle name="标题 4 6 2 2 3" xfId="6173"/>
    <cellStyle name="40% - 强调文字颜色 4 9 2 2 2" xfId="6174"/>
    <cellStyle name="常规 2 2 11" xfId="6175"/>
    <cellStyle name="40% - 强调文字颜色 4 9 2 2 2 2" xfId="6176"/>
    <cellStyle name="常规 2 2 11 2" xfId="6177"/>
    <cellStyle name="40% - 强调文字颜色 4 9 2 2 3" xfId="6178"/>
    <cellStyle name="常规 2 2 12" xfId="6179"/>
    <cellStyle name="40% - 强调文字颜色 4 9 2 3" xfId="6180"/>
    <cellStyle name="40% - 强调文字颜色 4 9 2 3 2" xfId="6181"/>
    <cellStyle name="40% - 强调文字颜色 4 9 2 4" xfId="6182"/>
    <cellStyle name="40% - 强调文字颜色 4 9 2 5" xfId="6183"/>
    <cellStyle name="40% - 强调文字颜色 4 9 3" xfId="6184"/>
    <cellStyle name="常规 6 4 10" xfId="6185"/>
    <cellStyle name="40% - 强调文字颜色 4 9 3 2" xfId="6186"/>
    <cellStyle name="40% - 强调文字颜色 4 9 3 2 2" xfId="6187"/>
    <cellStyle name="40% - 强调文字颜色 4 9 3 2 2 2" xfId="6188"/>
    <cellStyle name="40% - 强调文字颜色 4 9 3 2 3" xfId="6189"/>
    <cellStyle name="40% - 强调文字颜色 4 9 3 3" xfId="6190"/>
    <cellStyle name="40% - 强调文字颜色 4 9 3 3 2" xfId="6191"/>
    <cellStyle name="60% - 强调文字颜色 3 5 12" xfId="6192"/>
    <cellStyle name="40% - 强调文字颜色 4 9 3 4" xfId="6193"/>
    <cellStyle name="40% - 强调文字颜色 4 9 4" xfId="6194"/>
    <cellStyle name="常规 6 4 11" xfId="6195"/>
    <cellStyle name="40% - 强调文字颜色 4 9 4 2" xfId="6196"/>
    <cellStyle name="常规 7 2 2 7" xfId="6197"/>
    <cellStyle name="40% - 强调文字颜色 4 9 4 2 2" xfId="6198"/>
    <cellStyle name="输入 6 11" xfId="6199"/>
    <cellStyle name="40% - 强调文字颜色 4 9 4 3" xfId="6200"/>
    <cellStyle name="常规 7 2 2 8" xfId="6201"/>
    <cellStyle name="40% - 强调文字颜色 4 9 5" xfId="6202"/>
    <cellStyle name="常规 6 4 12" xfId="6203"/>
    <cellStyle name="40% - 强调文字颜色 4 9 5 2" xfId="6204"/>
    <cellStyle name="差 4 10" xfId="6205"/>
    <cellStyle name="常规 7 2 3 7" xfId="6206"/>
    <cellStyle name="40% - 强调文字颜色 4 9 6" xfId="6207"/>
    <cellStyle name="常规 6 4 13" xfId="6208"/>
    <cellStyle name="40% - 强调文字颜色 4 9 6 2" xfId="6209"/>
    <cellStyle name="40% - 强调文字颜色 4 9 7" xfId="6210"/>
    <cellStyle name="40% - 强调文字颜色 4 9 8" xfId="6211"/>
    <cellStyle name="输出 8 3 2 2" xfId="6212"/>
    <cellStyle name="40% - 强调文字颜色 4 9 9" xfId="6213"/>
    <cellStyle name="汇总 10 2 2 2" xfId="6214"/>
    <cellStyle name="强调文字颜色 4 7 7 2" xfId="6215"/>
    <cellStyle name="输出 8 3 2 3" xfId="6216"/>
    <cellStyle name="40% - 强调文字颜色 5 10" xfId="6217"/>
    <cellStyle name="40% - 强调文字颜色 5 10 10" xfId="6218"/>
    <cellStyle name="40% - 强调文字颜色 5 10 11" xfId="6219"/>
    <cellStyle name="40% - 强调文字颜色 5 10 12" xfId="6220"/>
    <cellStyle name="好_账龄09 3 2" xfId="6221"/>
    <cellStyle name="40% - 强调文字颜色 5 10 2" xfId="6222"/>
    <cellStyle name="40% - 强调文字颜色 5 10 2 2" xfId="6223"/>
    <cellStyle name="40% - 强调文字颜色 5 10 2 2 2" xfId="6224"/>
    <cellStyle name="警告文本 13 8" xfId="6225"/>
    <cellStyle name="40% - 强调文字颜色 5 10 2 2 2 2" xfId="6226"/>
    <cellStyle name="输出 3 6 3" xfId="6227"/>
    <cellStyle name="40% - 强调文字颜色 5 10 2 2 3" xfId="6228"/>
    <cellStyle name="40% - 强调文字颜色 5 10 2 3" xfId="6229"/>
    <cellStyle name="40% - 强调文字颜色 5 10 2 3 2" xfId="6230"/>
    <cellStyle name="40% - 强调文字颜色 5 10 2 4" xfId="6231"/>
    <cellStyle name="40% - 强调文字颜色 5 10 2 5" xfId="6232"/>
    <cellStyle name="40% - 强调文字颜色 5 10 3" xfId="6233"/>
    <cellStyle name="常规 2 3 5 2" xfId="6234"/>
    <cellStyle name="40% - 强调文字颜色 5 10 3 2" xfId="6235"/>
    <cellStyle name="60% - 强调文字颜色 4 12 2 4" xfId="6236"/>
    <cellStyle name="40% - 强调文字颜色 5 10 3 2 2" xfId="6237"/>
    <cellStyle name="强调文字颜色 6 2 2 2 3" xfId="6238"/>
    <cellStyle name="40% - 强调文字颜色 5 10 3 2 2 2" xfId="6239"/>
    <cellStyle name="40% - 强调文字颜色 5 10 3 2 3" xfId="6240"/>
    <cellStyle name="40% - 强调文字颜色 5 10 3 3" xfId="6241"/>
    <cellStyle name="60% - 强调文字颜色 4 12 2 5" xfId="6242"/>
    <cellStyle name="40% - 强调文字颜色 5 10 3 3 2" xfId="6243"/>
    <cellStyle name="40% - 强调文字颜色 5 10 3 4" xfId="6244"/>
    <cellStyle name="40% - 强调文字颜色 5 10 4" xfId="6245"/>
    <cellStyle name="40% - 强调文字颜色 5 10 4 2" xfId="6246"/>
    <cellStyle name="60% - 强调文字颜色 4 12 3 4" xfId="6247"/>
    <cellStyle name="40% - 强调文字颜色 5 10 4 2 2" xfId="6248"/>
    <cellStyle name="40% - 强调文字颜色 5 10 4 3" xfId="6249"/>
    <cellStyle name="40% - 强调文字颜色 5 10 5" xfId="6250"/>
    <cellStyle name="40% - 强调文字颜色 5 10 5 2" xfId="6251"/>
    <cellStyle name="40% - 强调文字颜色 5 10 6" xfId="6252"/>
    <cellStyle name="40% - 强调文字颜色 5 10 6 2" xfId="6253"/>
    <cellStyle name="40% - 强调文字颜色 5 10 7" xfId="6254"/>
    <cellStyle name="40% - 强调文字颜色 5 10 8" xfId="6255"/>
    <cellStyle name="40% - 强调文字颜色 5 10 9" xfId="6256"/>
    <cellStyle name="40% - 强调文字颜色 5 11" xfId="6257"/>
    <cellStyle name="40% - 强调文字颜色 5 11 10" xfId="6258"/>
    <cellStyle name="40% - 强调文字颜色 5 11 11" xfId="6259"/>
    <cellStyle name="40% - 强调文字颜色 5 11 12" xfId="6260"/>
    <cellStyle name="40% - 强调文字颜色 5 11 2" xfId="6261"/>
    <cellStyle name="40% - 强调文字颜色 5 11 2 2" xfId="6262"/>
    <cellStyle name="常规 105" xfId="6263"/>
    <cellStyle name="40% - 强调文字颜色 5 11 2 2 2" xfId="6264"/>
    <cellStyle name="常规 105 2" xfId="6265"/>
    <cellStyle name="40% - 强调文字颜色 5 11 2 2 2 2" xfId="6266"/>
    <cellStyle name="常规 105 2 2" xfId="6267"/>
    <cellStyle name="40% - 强调文字颜色 5 11 2 2 3" xfId="6268"/>
    <cellStyle name="常规 105 3" xfId="6269"/>
    <cellStyle name="40% - 强调文字颜色 5 11 2 3" xfId="6270"/>
    <cellStyle name="常规 111" xfId="6271"/>
    <cellStyle name="40% - 强调文字颜色 5 11 2 3 2" xfId="6272"/>
    <cellStyle name="常规 111 2" xfId="6273"/>
    <cellStyle name="40% - 强调文字颜色 5 11 2 4" xfId="6274"/>
    <cellStyle name="常规 112" xfId="6275"/>
    <cellStyle name="40% - 强调文字颜色 5 11 2 5" xfId="6276"/>
    <cellStyle name="常规 113" xfId="6277"/>
    <cellStyle name="40% - 强调文字颜色 5 11 3" xfId="6278"/>
    <cellStyle name="常规 2 3 6 2" xfId="6279"/>
    <cellStyle name="40% - 强调文字颜色 5 11 3 2" xfId="6280"/>
    <cellStyle name="60% - 强调文字颜色 4 13 2 4" xfId="6281"/>
    <cellStyle name="40% - 强调文字颜色 5 11 3 2 2" xfId="6282"/>
    <cellStyle name="40% - 强调文字颜色 5 11 3 2 2 2" xfId="6283"/>
    <cellStyle name="40% - 强调文字颜色 5 11 3 2 3" xfId="6284"/>
    <cellStyle name="40% - 强调文字颜色 5 11 3 3" xfId="6285"/>
    <cellStyle name="60% - 强调文字颜色 4 13 2 5" xfId="6286"/>
    <cellStyle name="40% - 强调文字颜色 5 11 3 3 2" xfId="6287"/>
    <cellStyle name="40% - 强调文字颜色 5 11 3 4" xfId="6288"/>
    <cellStyle name="40% - 强调文字颜色 5 11 4 2" xfId="6289"/>
    <cellStyle name="60% - 强调文字颜色 4 13 3 4" xfId="6290"/>
    <cellStyle name="40% - 强调文字颜色 5 11 4 2 2" xfId="6291"/>
    <cellStyle name="40% - 强调文字颜色 5 11 4 3" xfId="6292"/>
    <cellStyle name="40% - 强调文字颜色 5 11 5 2" xfId="6293"/>
    <cellStyle name="40% - 强调文字颜色 5 11 6 2" xfId="6294"/>
    <cellStyle name="40% - 强调文字颜色 5 11 8" xfId="6295"/>
    <cellStyle name="40% - 强调文字颜色 5 11 9" xfId="6296"/>
    <cellStyle name="40% - 强调文字颜色 5 12" xfId="6297"/>
    <cellStyle name="40% - 强调文字颜色 5 12 10" xfId="6298"/>
    <cellStyle name="40% - 强调文字颜色 5 12 11" xfId="6299"/>
    <cellStyle name="40% - 强调文字颜色 5 12 12" xfId="6300"/>
    <cellStyle name="40% - 强调文字颜色 5 12 2" xfId="6301"/>
    <cellStyle name="40% - 强调文字颜色 5 12 2 2" xfId="6302"/>
    <cellStyle name="40% - 强调文字颜色 5 12 2 2 2" xfId="6303"/>
    <cellStyle name="40% - 强调文字颜色 5 12 2 2 2 2" xfId="6304"/>
    <cellStyle name="40% - 强调文字颜色 5 12 2 2 3" xfId="6305"/>
    <cellStyle name="40% - 强调文字颜色 5 12 2 3" xfId="6306"/>
    <cellStyle name="40% - 强调文字颜色 5 12 2 3 2" xfId="6307"/>
    <cellStyle name="40% - 强调文字颜色 5 12 3" xfId="6308"/>
    <cellStyle name="常规 2 3 7 2" xfId="6309"/>
    <cellStyle name="40% - 强调文字颜色 5 12 3 2" xfId="6310"/>
    <cellStyle name="40% - 强调文字颜色 5 12 3 2 2" xfId="6311"/>
    <cellStyle name="40% - 强调文字颜色 5 12 3 2 2 2" xfId="6312"/>
    <cellStyle name="40% - 强调文字颜色 5 12 3 2 3" xfId="6313"/>
    <cellStyle name="40% - 强调文字颜色 5 12 3 3" xfId="6314"/>
    <cellStyle name="40% - 强调文字颜色 5 12 3 3 2" xfId="6315"/>
    <cellStyle name="40% - 强调文字颜色 5 12 4" xfId="6316"/>
    <cellStyle name="40% - 强调文字颜色 5 12 4 2" xfId="6317"/>
    <cellStyle name="40% - 强调文字颜色 5 12 4 2 2" xfId="6318"/>
    <cellStyle name="40% - 强调文字颜色 5 12 4 3" xfId="6319"/>
    <cellStyle name="40% - 强调文字颜色 5 12 5" xfId="6320"/>
    <cellStyle name="Header2 4 2 3 2 2" xfId="6321"/>
    <cellStyle name="40% - 强调文字颜色 5 12 5 2" xfId="6322"/>
    <cellStyle name="40% - 强调文字颜色 5 12 6" xfId="6323"/>
    <cellStyle name="40% - 强调文字颜色 5 12 6 2" xfId="6324"/>
    <cellStyle name="40% - 强调文字颜色 5 12 7" xfId="6325"/>
    <cellStyle name="40% - 强调文字颜色 5 12 8" xfId="6326"/>
    <cellStyle name="40% - 强调文字颜色 5 12 9" xfId="6327"/>
    <cellStyle name="40% - 强调文字颜色 5 13" xfId="6328"/>
    <cellStyle name="40% - 强调文字颜色 5 13 10" xfId="6329"/>
    <cellStyle name="解释性文本 2 8" xfId="6330"/>
    <cellStyle name="40% - 强调文字颜色 5 13 11" xfId="6331"/>
    <cellStyle name="解释性文本 2 9" xfId="6332"/>
    <cellStyle name="40% - 强调文字颜色 5 13 12" xfId="6333"/>
    <cellStyle name="40% - 强调文字颜色 5 13 13" xfId="6334"/>
    <cellStyle name="40% - 强调文字颜色 5 13 2" xfId="6335"/>
    <cellStyle name="40% - 强调文字颜色 5 13 2 2" xfId="6336"/>
    <cellStyle name="40% - 强调文字颜色 5 13 2 2 2 2" xfId="6337"/>
    <cellStyle name="40% - 强调文字颜色 5 13 2 2 3" xfId="6338"/>
    <cellStyle name="40% - 强调文字颜色 5 13 2 3" xfId="6339"/>
    <cellStyle name="40% - 强调文字颜色 5 13 2 3 2" xfId="6340"/>
    <cellStyle name="40% - 强调文字颜色 5 13 3" xfId="6341"/>
    <cellStyle name="60% - 强调文字颜色 6 10 3 2 2" xfId="6342"/>
    <cellStyle name="40% - 强调文字颜色 5 13 3 2" xfId="6343"/>
    <cellStyle name="60% - 强调文字颜色 6 10 3 2 2 2" xfId="6344"/>
    <cellStyle name="40% - 强调文字颜色 5 13 3 2 2" xfId="6345"/>
    <cellStyle name="40% - 强调文字颜色 5 13 3 2 2 2" xfId="6346"/>
    <cellStyle name="40% - 强调文字颜色 5 13 3 2 3" xfId="6347"/>
    <cellStyle name="40% - 强调文字颜色 5 13 3 3" xfId="6348"/>
    <cellStyle name="40% - 强调文字颜色 5 13 3 3 2" xfId="6349"/>
    <cellStyle name="40% - 强调文字颜色 5 13 4" xfId="6350"/>
    <cellStyle name="60% - 强调文字颜色 6 10 3 2 3" xfId="6351"/>
    <cellStyle name="40% - 强调文字颜色 5 13 4 2" xfId="6352"/>
    <cellStyle name="40% - 强调文字颜色 5 13 4 2 2" xfId="6353"/>
    <cellStyle name="40% - 强调文字颜色 5 13 4 3" xfId="6354"/>
    <cellStyle name="40% - 强调文字颜色 5 13 5" xfId="6355"/>
    <cellStyle name="Header2 4 2 3 3 2" xfId="6356"/>
    <cellStyle name="40% - 强调文字颜色 5 13 5 2" xfId="6357"/>
    <cellStyle name="警告文本 8" xfId="6358"/>
    <cellStyle name="40% - 强调文字颜色 5 13 6" xfId="6359"/>
    <cellStyle name="标题 7 2 2" xfId="6360"/>
    <cellStyle name="40% - 强调文字颜色 5 13 6 2" xfId="6361"/>
    <cellStyle name="40% - 强调文字颜色 5 13 7" xfId="6362"/>
    <cellStyle name="标题 7 2 3" xfId="6363"/>
    <cellStyle name="40% - 强调文字颜色 5 13 7 2" xfId="6364"/>
    <cellStyle name="40% - 强调文字颜色 5 13 8" xfId="6365"/>
    <cellStyle name="40% - 强调文字颜色 5 13 9" xfId="6366"/>
    <cellStyle name="40% - 强调文字颜色 5 14" xfId="6367"/>
    <cellStyle name="40% - 强调文字颜色 5 14 2" xfId="6368"/>
    <cellStyle name="40% - 强调文字颜色 5 14 2 2" xfId="6369"/>
    <cellStyle name="40% - 强调文字颜色 5 14 2 2 2" xfId="6370"/>
    <cellStyle name="40% - 强调文字颜色 5 14 2 3" xfId="6371"/>
    <cellStyle name="40% - 强调文字颜色 5 14 3" xfId="6372"/>
    <cellStyle name="60% - 强调文字颜色 6 10 3 3 2" xfId="6373"/>
    <cellStyle name="40% - 强调文字颜色 5 14 3 2" xfId="6374"/>
    <cellStyle name="40% - 强调文字颜色 5 14 4" xfId="6375"/>
    <cellStyle name="40% - 强调文字颜色 5 15" xfId="6376"/>
    <cellStyle name="部门 6 2 2" xfId="6377"/>
    <cellStyle name="40% - 强调文字颜色 5 15 2" xfId="6378"/>
    <cellStyle name="40% - 强调文字颜色 5 15 2 2" xfId="6379"/>
    <cellStyle name="40% - 强调文字颜色 5 15 3" xfId="6380"/>
    <cellStyle name="注释 4 3 2 2" xfId="6381"/>
    <cellStyle name="40% - 强调文字颜色 5 16" xfId="6382"/>
    <cellStyle name="强调文字颜色 1 8 3 2" xfId="6383"/>
    <cellStyle name="40% - 强调文字颜色 5 16 2" xfId="6384"/>
    <cellStyle name="强调文字颜色 1 8 3 2 2" xfId="6385"/>
    <cellStyle name="40% - 强调文字颜色 5 17" xfId="6386"/>
    <cellStyle name="强调文字颜色 1 8 3 3" xfId="6387"/>
    <cellStyle name="40% - 强调文字颜色 5 2" xfId="6388"/>
    <cellStyle name="计算 6 3 5" xfId="6389"/>
    <cellStyle name="40% - 强调文字颜色 5 2 10" xfId="6390"/>
    <cellStyle name="40% - 强调文字颜色 5 2 11" xfId="6391"/>
    <cellStyle name="40% - 强调文字颜色 5 2 12" xfId="6392"/>
    <cellStyle name="40% - 强调文字颜色 5 2 2" xfId="6393"/>
    <cellStyle name="40% - 强调文字颜色 5 2 2 2" xfId="6394"/>
    <cellStyle name="40% - 强调文字颜色 5 2 2 2 2" xfId="6395"/>
    <cellStyle name="计算 11 6" xfId="6396"/>
    <cellStyle name="40% - 强调文字颜色 5 2 2 2 2 2" xfId="6397"/>
    <cellStyle name="计算 11 6 2" xfId="6398"/>
    <cellStyle name="40% - 强调文字颜色 5 2 2 2 2 2 2" xfId="6399"/>
    <cellStyle name="40% - 强调文字颜色 5 2 2 2 2 3" xfId="6400"/>
    <cellStyle name="计算 11 6 3" xfId="6401"/>
    <cellStyle name="40% - 强调文字颜色 5 2 2 2 2 3 2" xfId="6402"/>
    <cellStyle name="40% - 强调文字颜色 5 2 2 2 2 4" xfId="6403"/>
    <cellStyle name="计算 11 6 4" xfId="6404"/>
    <cellStyle name="40% - 强调文字颜色 5 2 2 2 3" xfId="6405"/>
    <cellStyle name="计算 11 7" xfId="6406"/>
    <cellStyle name="40% - 强调文字颜色 5 2 2 2 3 2" xfId="6407"/>
    <cellStyle name="40% - 强调文字颜色 5 2 2 2 4" xfId="6408"/>
    <cellStyle name="计算 11 8" xfId="6409"/>
    <cellStyle name="40% - 强调文字颜色 5 2 2 3" xfId="6410"/>
    <cellStyle name="40% - 强调文字颜色 5 2 2 3 2" xfId="6411"/>
    <cellStyle name="计算 12 6" xfId="6412"/>
    <cellStyle name="40% - 强调文字颜色 5 2 2 3 2 2" xfId="6413"/>
    <cellStyle name="计算 12 6 2" xfId="6414"/>
    <cellStyle name="40% - 强调文字颜色 5 2 2 3 3" xfId="6415"/>
    <cellStyle name="计算 12 7" xfId="6416"/>
    <cellStyle name="40% - 强调文字颜色 5 2 2 4" xfId="6417"/>
    <cellStyle name="40% - 强调文字颜色 5 2 2 4 2" xfId="6418"/>
    <cellStyle name="计算 13 6" xfId="6419"/>
    <cellStyle name="40% - 强调文字颜色 5 2 2 5" xfId="6420"/>
    <cellStyle name="40% - 强调文字颜色 5 2 2 6" xfId="6421"/>
    <cellStyle name="百分比 4 2 2 2" xfId="6422"/>
    <cellStyle name="40% - 强调文字颜色 5 2 3" xfId="6423"/>
    <cellStyle name="40% - 强调文字颜色 5 2 3 2" xfId="6424"/>
    <cellStyle name="40% - 强调文字颜色 5 2 3 2 2" xfId="6425"/>
    <cellStyle name="40% - 强调文字颜色 5 2 3 2 2 2" xfId="6426"/>
    <cellStyle name="输出 12 7" xfId="6427"/>
    <cellStyle name="40% - 强调文字颜色 5 2 3 2 3" xfId="6428"/>
    <cellStyle name="40% - 强调文字颜色 5 2 3 3" xfId="6429"/>
    <cellStyle name="40% - 强调文字颜色 5 2 3 3 2" xfId="6430"/>
    <cellStyle name="40% - 强调文字颜色 5 2 3 4" xfId="6431"/>
    <cellStyle name="40% - 强调文字颜色 5 2 3 5" xfId="6432"/>
    <cellStyle name="40% - 强调文字颜色 5 2 4" xfId="6433"/>
    <cellStyle name="40% - 强调文字颜色 5 2 4 2" xfId="6434"/>
    <cellStyle name="40% - 强调文字颜色 5 2 4 2 2" xfId="6435"/>
    <cellStyle name="40% - 强调文字颜色 5 2 4 2 2 2" xfId="6436"/>
    <cellStyle name="60% - 强调文字颜色 4 12" xfId="6437"/>
    <cellStyle name="40% - 强调文字颜色 5 2 4 2 3" xfId="6438"/>
    <cellStyle name="40% - 强调文字颜色 5 2 4 3" xfId="6439"/>
    <cellStyle name="40% - 强调文字颜色 5 2 4 3 2" xfId="6440"/>
    <cellStyle name="40% - 强调文字颜色 5 2 4 4" xfId="6441"/>
    <cellStyle name="40% - 强调文字颜色 5 2 4 5" xfId="6442"/>
    <cellStyle name="40% - 强调文字颜色 5 2 5" xfId="6443"/>
    <cellStyle name="40% - 强调文字颜色 5 2 5 2" xfId="6444"/>
    <cellStyle name="40% - 强调文字颜色 5 2 5 2 2" xfId="6445"/>
    <cellStyle name="40% - 强调文字颜色 5 2 5 3" xfId="6446"/>
    <cellStyle name="40% - 强调文字颜色 5 2 6" xfId="6447"/>
    <cellStyle name="40% - 强调文字颜色 5 2 6 2" xfId="6448"/>
    <cellStyle name="强调文字颜色 5 5 12" xfId="6449"/>
    <cellStyle name="40% - 强调文字颜色 5 2 7" xfId="6450"/>
    <cellStyle name="40% - 强调文字颜色 5 2 7 2" xfId="6451"/>
    <cellStyle name="40% - 强调文字颜色 5 2 8" xfId="6452"/>
    <cellStyle name="40% - 强调文字颜色 5 2 9" xfId="6453"/>
    <cellStyle name="40% - 强调文字颜色 5 3" xfId="6454"/>
    <cellStyle name="40% - 强调文字颜色 5 3 10" xfId="6455"/>
    <cellStyle name="40% - 强调文字颜色 5 3 11" xfId="6456"/>
    <cellStyle name="40% - 强调文字颜色 5 3 12" xfId="6457"/>
    <cellStyle name="40% - 强调文字颜色 5 3 2" xfId="6458"/>
    <cellStyle name="40% - 强调文字颜色 5 3 2 2" xfId="6459"/>
    <cellStyle name="40% - 强调文字颜色 5 3 2 2 2" xfId="6460"/>
    <cellStyle name="40% - 强调文字颜色 5 3 2 2 2 2" xfId="6461"/>
    <cellStyle name="40% - 强调文字颜色 5 3 2 3" xfId="6462"/>
    <cellStyle name="40% - 强调文字颜色 5 3 2 3 2" xfId="6463"/>
    <cellStyle name="40% - 强调文字颜色 5 3 2 4" xfId="6464"/>
    <cellStyle name="40% - 强调文字颜色 5 3 2 5" xfId="6465"/>
    <cellStyle name="40% - 强调文字颜色 5 3 3" xfId="6466"/>
    <cellStyle name="40% - 强调文字颜色 5 3 3 2" xfId="6467"/>
    <cellStyle name="40% - 强调文字颜色 5 3 3 2 2" xfId="6468"/>
    <cellStyle name="40% - 强调文字颜色 5 3 3 2 2 2" xfId="6469"/>
    <cellStyle name="40% - 强调文字颜色 5 3 3 2 3" xfId="6470"/>
    <cellStyle name="千位分隔 2 9 2" xfId="6471"/>
    <cellStyle name="40% - 强调文字颜色 5 3 3 3" xfId="6472"/>
    <cellStyle name="40% - 强调文字颜色 5 3 3 3 2" xfId="6473"/>
    <cellStyle name="40% - 强调文字颜色 5 3 3 4" xfId="6474"/>
    <cellStyle name="40% - 强调文字颜色 5 3 4" xfId="6475"/>
    <cellStyle name="40% - 强调文字颜色 5 3 4 2" xfId="6476"/>
    <cellStyle name="40% - 强调文字颜色 5 3 4 2 2" xfId="6477"/>
    <cellStyle name="40% - 强调文字颜色 5 3 4 3" xfId="6478"/>
    <cellStyle name="40% - 强调文字颜色 5 3 5" xfId="6479"/>
    <cellStyle name="40% - 强调文字颜色 5 3 5 2" xfId="6480"/>
    <cellStyle name="40% - 强调文字颜色 5 3 6" xfId="6481"/>
    <cellStyle name="40% - 强调文字颜色 5 3 6 2" xfId="6482"/>
    <cellStyle name="40% - 强调文字颜色 5 3 7" xfId="6483"/>
    <cellStyle name="40% - 强调文字颜色 5 3 8" xfId="6484"/>
    <cellStyle name="40% - 强调文字颜色 5 4" xfId="6485"/>
    <cellStyle name="40% - 强调文字颜色 5 4 10" xfId="6486"/>
    <cellStyle name="标题 1 13 3 2" xfId="6487"/>
    <cellStyle name="40% - 强调文字颜色 5 4 11" xfId="6488"/>
    <cellStyle name="标题 1 13 3 3" xfId="6489"/>
    <cellStyle name="40% - 强调文字颜色 5 4 12" xfId="6490"/>
    <cellStyle name="40% - 强调文字颜色 5 4 2" xfId="6491"/>
    <cellStyle name="40% - 强调文字颜色 5 4 2 2" xfId="6492"/>
    <cellStyle name="40% - 强调文字颜色 5 4 2 2 2" xfId="6493"/>
    <cellStyle name="汇总 14 3" xfId="6494"/>
    <cellStyle name="40% - 强调文字颜色 5 4 2 2 2 2" xfId="6495"/>
    <cellStyle name="40% - 强调文字颜色 5 4 2 2 3" xfId="6496"/>
    <cellStyle name="40% - 强调文字颜色 5 4 2 3" xfId="6497"/>
    <cellStyle name="40% - 强调文字颜色 5 4 2 3 2" xfId="6498"/>
    <cellStyle name="40% - 强调文字颜色 5 4 2 4" xfId="6499"/>
    <cellStyle name="40% - 强调文字颜色 5 4 2 5" xfId="6500"/>
    <cellStyle name="40% - 强调文字颜色 5 4 3" xfId="6501"/>
    <cellStyle name="40% - 强调文字颜色 5 4 3 2" xfId="6502"/>
    <cellStyle name="40% - 强调文字颜色 5 4 3 2 2" xfId="6503"/>
    <cellStyle name="40% - 强调文字颜色 5 4 3 2 2 2" xfId="6504"/>
    <cellStyle name="40% - 强调文字颜色 5 4 3 2 3" xfId="6505"/>
    <cellStyle name="40% - 强调文字颜色 5 4 3 3" xfId="6506"/>
    <cellStyle name="40% - 强调文字颜色 5 4 3 3 2" xfId="6507"/>
    <cellStyle name="40% - 强调文字颜色 5 4 3 4" xfId="6508"/>
    <cellStyle name="40% - 强调文字颜色 5 4 4" xfId="6509"/>
    <cellStyle name="40% - 强调文字颜色 5 4 4 2" xfId="6510"/>
    <cellStyle name="40% - 强调文字颜色 5 4 4 2 2" xfId="6511"/>
    <cellStyle name="40% - 强调文字颜色 5 4 4 3" xfId="6512"/>
    <cellStyle name="40% - 强调文字颜色 5 4 5" xfId="6513"/>
    <cellStyle name="40% - 强调文字颜色 6 13 2 2" xfId="6514"/>
    <cellStyle name="40% - 强调文字颜色 5 4 5 2" xfId="6515"/>
    <cellStyle name="40% - 强调文字颜色 6 13 2 2 2" xfId="6516"/>
    <cellStyle name="40% - 强调文字颜色 5 4 6" xfId="6517"/>
    <cellStyle name="40% - 强调文字颜色 6 13 2 3" xfId="6518"/>
    <cellStyle name="40% - 强调文字颜色 5 4 6 2" xfId="6519"/>
    <cellStyle name="40% - 强调文字颜色 6 13 2 3 2" xfId="6520"/>
    <cellStyle name="40% - 强调文字颜色 5 4 7" xfId="6521"/>
    <cellStyle name="40% - 强调文字颜色 6 13 2 4" xfId="6522"/>
    <cellStyle name="40% - 强调文字颜色 5 4 8" xfId="6523"/>
    <cellStyle name="40% - 强调文字颜色 6 13 2 5" xfId="6524"/>
    <cellStyle name="40% - 强调文字颜色 5 4 9" xfId="6525"/>
    <cellStyle name="强调文字颜色 4 8 2 2" xfId="6526"/>
    <cellStyle name="40% - 强调文字颜色 5 5" xfId="6527"/>
    <cellStyle name="60% - 强调文字颜色 6 12 2 3 2" xfId="6528"/>
    <cellStyle name="40% - 强调文字颜色 5 5 10" xfId="6529"/>
    <cellStyle name="链接单元格 5 2" xfId="6530"/>
    <cellStyle name="40% - 强调文字颜色 5 5 11" xfId="6531"/>
    <cellStyle name="链接单元格 5 3" xfId="6532"/>
    <cellStyle name="40% - 强调文字颜色 5 5 12" xfId="6533"/>
    <cellStyle name="链接单元格 5 4" xfId="6534"/>
    <cellStyle name="40% - 强调文字颜色 5 5 2" xfId="6535"/>
    <cellStyle name="40% - 强调文字颜色 5 5 2 2" xfId="6536"/>
    <cellStyle name="40% - 强调文字颜色 5 5 2 2 2" xfId="6537"/>
    <cellStyle name="40% - 强调文字颜色 5 5 2 2 2 2" xfId="6538"/>
    <cellStyle name="40% - 强调文字颜色 5 5 2 2 3" xfId="6539"/>
    <cellStyle name="40% - 强调文字颜色 5 5 2 3" xfId="6540"/>
    <cellStyle name="40% - 强调文字颜色 5 5 2 3 2" xfId="6541"/>
    <cellStyle name="60% - 强调文字颜色 3 10 7" xfId="6542"/>
    <cellStyle name="40% - 强调文字颜色 5 5 2 4" xfId="6543"/>
    <cellStyle name="40% - 强调文字颜色 5 5 2 5" xfId="6544"/>
    <cellStyle name="40% - 强调文字颜色 5 5 3" xfId="6545"/>
    <cellStyle name="60% - 强调文字颜色 5 15 2 2" xfId="6546"/>
    <cellStyle name="40% - 强调文字颜色 5 5 3 2" xfId="6547"/>
    <cellStyle name="40% - 强调文字颜色 5 5 3 2 2" xfId="6548"/>
    <cellStyle name="40% - 强调文字颜色 5 5 3 2 2 2" xfId="6549"/>
    <cellStyle name="40% - 强调文字颜色 5 5 3 2 3" xfId="6550"/>
    <cellStyle name="40% - 强调文字颜色 5 5 3 3" xfId="6551"/>
    <cellStyle name="40% - 强调文字颜色 5 5 3 3 2" xfId="6552"/>
    <cellStyle name="40% - 强调文字颜色 5 5 3 4" xfId="6553"/>
    <cellStyle name="40% - 强调文字颜色 5 5 4" xfId="6554"/>
    <cellStyle name="40% - 强调文字颜色 5 5 4 2" xfId="6555"/>
    <cellStyle name="40% - 强调文字颜色 5 5 4 2 2" xfId="6556"/>
    <cellStyle name="40% - 强调文字颜色 5 5 4 3" xfId="6557"/>
    <cellStyle name="40% - 强调文字颜色 5 5 5" xfId="6558"/>
    <cellStyle name="40% - 强调文字颜色 6 13 3 2" xfId="6559"/>
    <cellStyle name="40% - 强调文字颜色 5 5 5 2" xfId="6560"/>
    <cellStyle name="40% - 强调文字颜色 6 13 3 2 2" xfId="6561"/>
    <cellStyle name="40% - 强调文字颜色 5 5 6" xfId="6562"/>
    <cellStyle name="40% - 强调文字颜色 6 13 3 3" xfId="6563"/>
    <cellStyle name="40% - 强调文字颜色 5 5 6 2" xfId="6564"/>
    <cellStyle name="40% - 强调文字颜色 6 13 3 3 2" xfId="6565"/>
    <cellStyle name="40% - 强调文字颜色 5 5 7" xfId="6566"/>
    <cellStyle name="40% - 强调文字颜色 6 13 3 4" xfId="6567"/>
    <cellStyle name="40% - 强调文字颜色 5 5 8" xfId="6568"/>
    <cellStyle name="40% - 强调文字颜色 5 6" xfId="6569"/>
    <cellStyle name="40% - 强调文字颜色 5 6 10" xfId="6570"/>
    <cellStyle name="60% - 强调文字颜色 3 11 2 3" xfId="6571"/>
    <cellStyle name="40% - 强调文字颜色 5 6 11" xfId="6572"/>
    <cellStyle name="60% - 强调文字颜色 3 11 2 4" xfId="6573"/>
    <cellStyle name="差_账龄10 2 2 2 2" xfId="6574"/>
    <cellStyle name="40% - 强调文字颜色 5 6 12" xfId="6575"/>
    <cellStyle name="60% - 强调文字颜色 3 11 2 5" xfId="6576"/>
    <cellStyle name="40% - 强调文字颜色 5 6 2 2" xfId="6577"/>
    <cellStyle name="40% - 强调文字颜色 5 6 2 2 2" xfId="6578"/>
    <cellStyle name="常规 31" xfId="6579"/>
    <cellStyle name="40% - 强调文字颜色 5 6 2 2 2 2" xfId="6580"/>
    <cellStyle name="40% - 强调文字颜色 5 6 2 2 3" xfId="6581"/>
    <cellStyle name="40% - 强调文字颜色 5 6 2 3" xfId="6582"/>
    <cellStyle name="40% - 强调文字颜色 5 6 2 3 2" xfId="6583"/>
    <cellStyle name="40% - 强调文字颜色 5 6 2 4" xfId="6584"/>
    <cellStyle name="40% - 强调文字颜色 5 6 2 5" xfId="6585"/>
    <cellStyle name="40% - 强调文字颜色 5 6 3" xfId="6586"/>
    <cellStyle name="40% - 强调文字颜色 5 6 3 2" xfId="6587"/>
    <cellStyle name="40% - 强调文字颜色 5 6 3 2 2" xfId="6588"/>
    <cellStyle name="40% - 强调文字颜色 5 6 3 2 2 2" xfId="6589"/>
    <cellStyle name="标题 3 11 3" xfId="6590"/>
    <cellStyle name="40% - 强调文字颜色 5 6 3 2 3" xfId="6591"/>
    <cellStyle name="40% - 强调文字颜色 5 6 3 3 2" xfId="6592"/>
    <cellStyle name="40% - 强调文字颜色 5 6 4" xfId="6593"/>
    <cellStyle name="常规 2 2 2 2 2 2 2" xfId="6594"/>
    <cellStyle name="40% - 强调文字颜色 5 6 4 2" xfId="6595"/>
    <cellStyle name="常规 2 2 2 2 2 2 2 2" xfId="6596"/>
    <cellStyle name="40% - 强调文字颜色 5 6 4 2 2" xfId="6597"/>
    <cellStyle name="常规 2 2 2 2 2 2 2 2 2" xfId="6598"/>
    <cellStyle name="40% - 强调文字颜色 5 6 4 3" xfId="6599"/>
    <cellStyle name="40% - 强调文字颜色 5 6 5" xfId="6600"/>
    <cellStyle name="40% - 强调文字颜色 6 13 4 2" xfId="6601"/>
    <cellStyle name="常规 2 2 2 2 2 2 3" xfId="6602"/>
    <cellStyle name="40% - 强调文字颜色 5 6 5 2" xfId="6603"/>
    <cellStyle name="40% - 强调文字颜色 6 13 4 2 2" xfId="6604"/>
    <cellStyle name="常规 2 2 2 2 2 2 3 2" xfId="6605"/>
    <cellStyle name="40% - 强调文字颜色 5 6 6" xfId="6606"/>
    <cellStyle name="40% - 强调文字颜色 6 13 4 3" xfId="6607"/>
    <cellStyle name="常规 2 2 2 2 2 2 4" xfId="6608"/>
    <cellStyle name="40% - 强调文字颜色 5 6 6 2" xfId="6609"/>
    <cellStyle name="40% - 强调文字颜色 5 6 7" xfId="6610"/>
    <cellStyle name="40% - 强调文字颜色 5 6 8" xfId="6611"/>
    <cellStyle name="40% - 强调文字颜色 5 7" xfId="6612"/>
    <cellStyle name="40% - 强调文字颜色 5 7 10" xfId="6613"/>
    <cellStyle name="输出 13 10 2" xfId="6614"/>
    <cellStyle name="40% - 强调文字颜色 5 7 11" xfId="6615"/>
    <cellStyle name="40% - 强调文字颜色 5 7 12" xfId="6616"/>
    <cellStyle name="40% - 强调文字颜色 5 7 2" xfId="6617"/>
    <cellStyle name="40% - 强调文字颜色 5 7 2 2" xfId="6618"/>
    <cellStyle name="40% - 强调文字颜色 5 7 2 2 2" xfId="6619"/>
    <cellStyle name="强调文字颜色 2 10 5" xfId="6620"/>
    <cellStyle name="40% - 强调文字颜色 5 7 2 2 2 2" xfId="6621"/>
    <cellStyle name="强调文字颜色 2 10 5 2" xfId="6622"/>
    <cellStyle name="40% - 强调文字颜色 5 7 2 2 3" xfId="6623"/>
    <cellStyle name="强调文字颜色 2 10 6" xfId="6624"/>
    <cellStyle name="40% - 强调文字颜色 5 7 2 3" xfId="6625"/>
    <cellStyle name="40% - 强调文字颜色 5 7 2 3 2" xfId="6626"/>
    <cellStyle name="强调文字颜色 2 11 5" xfId="6627"/>
    <cellStyle name="40% - 强调文字颜色 5 7 2 4" xfId="6628"/>
    <cellStyle name="40% - 强调文字颜色 5 7 2 5" xfId="6629"/>
    <cellStyle name="40% - 强调文字颜色 5 7 3" xfId="6630"/>
    <cellStyle name="40% - 强调文字颜色 5 7 3 2" xfId="6631"/>
    <cellStyle name="40% - 强调文字颜色 5 7 3 2 2" xfId="6632"/>
    <cellStyle name="40% - 强调文字颜色 5 7 3 2 2 2" xfId="6633"/>
    <cellStyle name="40% - 强调文字颜色 5 7 3 2 3" xfId="6634"/>
    <cellStyle name="40% - 强调文字颜色 5 7 3 3" xfId="6635"/>
    <cellStyle name="40% - 强调文字颜色 5 7 3 3 2" xfId="6636"/>
    <cellStyle name="40% - 强调文字颜色 5 7 3 4" xfId="6637"/>
    <cellStyle name="40% - 强调文字颜色 5 7 4" xfId="6638"/>
    <cellStyle name="常规 2 2 2 2 2 3 2" xfId="6639"/>
    <cellStyle name="40% - 强调文字颜色 5 7 4 2" xfId="6640"/>
    <cellStyle name="常规 2 2 2 2 2 3 2 2" xfId="6641"/>
    <cellStyle name="40% - 强调文字颜色 5 7 4 2 2" xfId="6642"/>
    <cellStyle name="40% - 强调文字颜色 5 7 4 3" xfId="6643"/>
    <cellStyle name="40% - 强调文字颜色 5 7 5" xfId="6644"/>
    <cellStyle name="40% - 强调文字颜色 6 13 5 2" xfId="6645"/>
    <cellStyle name="常规 2 2 2 2 2 3 3" xfId="6646"/>
    <cellStyle name="40% - 强调文字颜色 5 7 5 2" xfId="6647"/>
    <cellStyle name="40% - 强调文字颜色 5 7 6" xfId="6648"/>
    <cellStyle name="40% - 强调文字颜色 5 7 6 2" xfId="6649"/>
    <cellStyle name="强调文字颜色 6 5 12" xfId="6650"/>
    <cellStyle name="40% - 强调文字颜色 5 7 7" xfId="6651"/>
    <cellStyle name="40% - 强调文字颜色 5 7 8" xfId="6652"/>
    <cellStyle name="40% - 强调文字颜色 5 7 9" xfId="6653"/>
    <cellStyle name="强调文字颜色 4 8 5 2" xfId="6654"/>
    <cellStyle name="40% - 强调文字颜色 5 8" xfId="6655"/>
    <cellStyle name="40% - 强调文字颜色 5 8 10" xfId="6656"/>
    <cellStyle name="输出 13 15 2" xfId="6657"/>
    <cellStyle name="40% - 强调文字颜色 5 8 11" xfId="6658"/>
    <cellStyle name="40% - 强调文字颜色 5 8 12" xfId="6659"/>
    <cellStyle name="40% - 强调文字颜色 5 8 2" xfId="6660"/>
    <cellStyle name="40% - 强调文字颜色 5 8 2 2" xfId="6661"/>
    <cellStyle name="40% - 强调文字颜色 5 8 2 2 2" xfId="6662"/>
    <cellStyle name="40% - 强调文字颜色 5 8 2 2 2 2" xfId="6663"/>
    <cellStyle name="40% - 强调文字颜色 5 8 2 2 3" xfId="6664"/>
    <cellStyle name="40% - 强调文字颜色 5 8 2 3" xfId="6665"/>
    <cellStyle name="40% - 强调文字颜色 5 8 2 3 2" xfId="6666"/>
    <cellStyle name="常规 18 6" xfId="6667"/>
    <cellStyle name="40% - 强调文字颜色 5 8 2 4" xfId="6668"/>
    <cellStyle name="40% - 强调文字颜色 5 8 2 5" xfId="6669"/>
    <cellStyle name="40% - 强调文字颜色 5 8 3" xfId="6670"/>
    <cellStyle name="40% - 强调文字颜色 5 8 3 2" xfId="6671"/>
    <cellStyle name="40% - 强调文字颜色 5 8 3 2 2" xfId="6672"/>
    <cellStyle name="40% - 强调文字颜色 5 8 3 2 2 2" xfId="6673"/>
    <cellStyle name="40% - 强调文字颜色 5 8 3 2 3" xfId="6674"/>
    <cellStyle name="40% - 强调文字颜色 5 8 3 3" xfId="6675"/>
    <cellStyle name="40% - 强调文字颜色 5 8 3 3 2" xfId="6676"/>
    <cellStyle name="40% - 强调文字颜色 5 8 3 4" xfId="6677"/>
    <cellStyle name="40% - 强调文字颜色 5 8 4" xfId="6678"/>
    <cellStyle name="40% - 强调文字颜色 5 8 4 2" xfId="6679"/>
    <cellStyle name="40% - 强调文字颜色 5 8 4 2 2" xfId="6680"/>
    <cellStyle name="40% - 强调文字颜色 5 8 4 3" xfId="6681"/>
    <cellStyle name="40% - 强调文字颜色 5 8 5" xfId="6682"/>
    <cellStyle name="40% - 强调文字颜色 6 13 6 2" xfId="6683"/>
    <cellStyle name="40% - 强调文字颜色 5 8 5 2" xfId="6684"/>
    <cellStyle name="40% - 强调文字颜色 5 8 6" xfId="6685"/>
    <cellStyle name="40% - 强调文字颜色 5 8 6 2" xfId="6686"/>
    <cellStyle name="40% - 强调文字颜色 5 8 7" xfId="6687"/>
    <cellStyle name="40% - 强调文字颜色 5 8 8" xfId="6688"/>
    <cellStyle name="适中 10" xfId="6689"/>
    <cellStyle name="40% - 强调文字颜色 5 8 9" xfId="6690"/>
    <cellStyle name="强调文字颜色 4 8 6 2" xfId="6691"/>
    <cellStyle name="适中 11" xfId="6692"/>
    <cellStyle name="40% - 强调文字颜色 5 9" xfId="6693"/>
    <cellStyle name="40% - 强调文字颜色 5 9 10" xfId="6694"/>
    <cellStyle name="标题 1 14 3 2" xfId="6695"/>
    <cellStyle name="40% - 强调文字颜色 5 9 11" xfId="6696"/>
    <cellStyle name="40% - 强调文字颜色 5 9 2" xfId="6697"/>
    <cellStyle name="40% - 强调文字颜色 5 9 2 2" xfId="6698"/>
    <cellStyle name="标题 4 7 2 2 3" xfId="6699"/>
    <cellStyle name="40% - 强调文字颜色 5 9 2 2 2" xfId="6700"/>
    <cellStyle name="40% - 强调文字颜色 5 9 2 2 2 2" xfId="6701"/>
    <cellStyle name="40% - 强调文字颜色 5 9 2 2 3" xfId="6702"/>
    <cellStyle name="40% - 强调文字颜色 5 9 2 3" xfId="6703"/>
    <cellStyle name="40% - 强调文字颜色 5 9 2 3 2" xfId="6704"/>
    <cellStyle name="40% - 强调文字颜色 5 9 2 4" xfId="6705"/>
    <cellStyle name="40% - 强调文字颜色 5 9 2 5" xfId="6706"/>
    <cellStyle name="40% - 强调文字颜色 5 9 3" xfId="6707"/>
    <cellStyle name="40% - 强调文字颜色 5 9 3 2" xfId="6708"/>
    <cellStyle name="40% - 强调文字颜色 5 9 3 2 2" xfId="6709"/>
    <cellStyle name="40% - 强调文字颜色 5 9 3 2 2 2" xfId="6710"/>
    <cellStyle name="注释 10 12" xfId="6711"/>
    <cellStyle name="40% - 强调文字颜色 5 9 3 2 3" xfId="6712"/>
    <cellStyle name="40% - 强调文字颜色 5 9 3 3" xfId="6713"/>
    <cellStyle name="40% - 强调文字颜色 5 9 3 3 2" xfId="6714"/>
    <cellStyle name="40% - 强调文字颜色 5 9 3 4" xfId="6715"/>
    <cellStyle name="40% - 强调文字颜色 5 9 4" xfId="6716"/>
    <cellStyle name="40% - 强调文字颜色 5 9 4 2" xfId="6717"/>
    <cellStyle name="40% - 强调文字颜色 5 9 4 2 2" xfId="6718"/>
    <cellStyle name="40% - 强调文字颜色 5 9 4 3" xfId="6719"/>
    <cellStyle name="40% - 强调文字颜色 5 9 5" xfId="6720"/>
    <cellStyle name="40% - 强调文字颜色 6 13 7 2" xfId="6721"/>
    <cellStyle name="40% - 强调文字颜色 5 9 5 2" xfId="6722"/>
    <cellStyle name="40% - 强调文字颜色 5 9 6" xfId="6723"/>
    <cellStyle name="40% - 强调文字颜色 5 9 6 2" xfId="6724"/>
    <cellStyle name="40% - 强调文字颜色 5 9 7" xfId="6725"/>
    <cellStyle name="40% - 强调文字颜色 5 9 8" xfId="6726"/>
    <cellStyle name="输出 8 4 2 2" xfId="6727"/>
    <cellStyle name="40% - 强调文字颜色 5 9 9" xfId="6728"/>
    <cellStyle name="强调文字颜色 4 8 7 2" xfId="6729"/>
    <cellStyle name="40% - 强调文字颜色 6 10" xfId="6730"/>
    <cellStyle name="好 6 2 5" xfId="6731"/>
    <cellStyle name="40% - 强调文字颜色 6 10 10" xfId="6732"/>
    <cellStyle name="40% - 强调文字颜色 6 10 11" xfId="6733"/>
    <cellStyle name="40% - 强调文字颜色 6 10 12" xfId="6734"/>
    <cellStyle name="40% - 强调文字颜色 6 10 2" xfId="6735"/>
    <cellStyle name="40% - 强调文字颜色 6 10 2 2 2 2" xfId="6736"/>
    <cellStyle name="40% - 强调文字颜色 6 10 2 2 3" xfId="6737"/>
    <cellStyle name="40% - 强调文字颜色 6 10 3" xfId="6738"/>
    <cellStyle name="输入 2 5 2" xfId="6739"/>
    <cellStyle name="40% - 强调文字颜色 6 10 3 2 2 2" xfId="6740"/>
    <cellStyle name="40% - 强调文字颜色 6 10 3 2 3" xfId="6741"/>
    <cellStyle name="40% - 强调文字颜色 6 10 4" xfId="6742"/>
    <cellStyle name="输入 2 5 3" xfId="6743"/>
    <cellStyle name="40% - 强调文字颜色 6 10 6" xfId="6744"/>
    <cellStyle name="输入 2 5 5" xfId="6745"/>
    <cellStyle name="40% - 强调文字颜色 6 10 7" xfId="6746"/>
    <cellStyle name="40% - 强调文字颜色 6 10 8" xfId="6747"/>
    <cellStyle name="40% - 强调文字颜色 6 10 9" xfId="6748"/>
    <cellStyle name="40% - 强调文字颜色 6 11" xfId="6749"/>
    <cellStyle name="40% - 强调文字颜色 6 11 10" xfId="6750"/>
    <cellStyle name="40% - 强调文字颜色 6 11 11" xfId="6751"/>
    <cellStyle name="40% - 强调文字颜色 6 11 12" xfId="6752"/>
    <cellStyle name="40% - 强调文字颜色 6 11 2" xfId="6753"/>
    <cellStyle name="40% - 强调文字颜色 6 11 2 2 2 2" xfId="6754"/>
    <cellStyle name="40% - 强调文字颜色 6 11 2 2 3" xfId="6755"/>
    <cellStyle name="40% - 强调文字颜色 6 11 3" xfId="6756"/>
    <cellStyle name="借出原因 2 2 2" xfId="6757"/>
    <cellStyle name="输入 2 6 2" xfId="6758"/>
    <cellStyle name="40% - 强调文字颜色 6 11 3 2 2 2" xfId="6759"/>
    <cellStyle name="40% - 强调文字颜色 6 11 4" xfId="6760"/>
    <cellStyle name="输入 2 6 3" xfId="6761"/>
    <cellStyle name="40% - 强调文字颜色 6 11 5" xfId="6762"/>
    <cellStyle name="输入 2 6 4" xfId="6763"/>
    <cellStyle name="40% - 强调文字颜色 6 11 7" xfId="6764"/>
    <cellStyle name="40% - 强调文字颜色 6 11 8" xfId="6765"/>
    <cellStyle name="40% - 强调文字颜色 6 11 9" xfId="6766"/>
    <cellStyle name="标题 4 10 2 2" xfId="6767"/>
    <cellStyle name="40% - 强调文字颜色 6 12" xfId="6768"/>
    <cellStyle name="40% - 强调文字颜色 6 12 11" xfId="6769"/>
    <cellStyle name="注释 8 3 5" xfId="6770"/>
    <cellStyle name="40% - 强调文字颜色 6 12 12" xfId="6771"/>
    <cellStyle name="40% - 强调文字颜色 6 12 2" xfId="6772"/>
    <cellStyle name="40% - 强调文字颜色 6 12 2 2 2 2" xfId="6773"/>
    <cellStyle name="40% - 强调文字颜色 6 12 2 2 3" xfId="6774"/>
    <cellStyle name="40% - 强调文字颜色 6 12 3" xfId="6775"/>
    <cellStyle name="输入 2 7 2" xfId="6776"/>
    <cellStyle name="40% - 强调文字颜色 6 12 3 2 2 2" xfId="6777"/>
    <cellStyle name="40% - 强调文字颜色 6 12 4" xfId="6778"/>
    <cellStyle name="40% - 强调文字颜色 6 12 5" xfId="6779"/>
    <cellStyle name="40% - 强调文字颜色 6 12 6" xfId="6780"/>
    <cellStyle name="40% - 强调文字颜色 6 12 7" xfId="6781"/>
    <cellStyle name="40% - 强调文字颜色 6 12 8" xfId="6782"/>
    <cellStyle name="40% - 强调文字颜色 6 12 9" xfId="6783"/>
    <cellStyle name="标题 4 10 3 2" xfId="6784"/>
    <cellStyle name="40% - 强调文字颜色 6 13" xfId="6785"/>
    <cellStyle name="40% - 强调文字颜色 6 13 10" xfId="6786"/>
    <cellStyle name="40% - 强调文字颜色 6 13 11" xfId="6787"/>
    <cellStyle name="好 2 4 2 2" xfId="6788"/>
    <cellStyle name="40% - 强调文字颜色 6 13 12" xfId="6789"/>
    <cellStyle name="好 2 4 2 3" xfId="6790"/>
    <cellStyle name="40% - 强调文字颜色 6 13 13" xfId="6791"/>
    <cellStyle name="40% - 强调文字颜色 6 13 2" xfId="6792"/>
    <cellStyle name="40% - 强调文字颜色 6 13 2 2 2 2" xfId="6793"/>
    <cellStyle name="40% - 强调文字颜色 6 13 2 2 3" xfId="6794"/>
    <cellStyle name="40% - 强调文字颜色 6 13 3" xfId="6795"/>
    <cellStyle name="输入 2 8 2" xfId="6796"/>
    <cellStyle name="40% - 强调文字颜色 6 13 3 2 2 2" xfId="6797"/>
    <cellStyle name="40% - 强调文字颜色 6 13 3 2 3" xfId="6798"/>
    <cellStyle name="40% - 强调文字颜色 6 13 5" xfId="6799"/>
    <cellStyle name="40% - 强调文字颜色 6 13 6" xfId="6800"/>
    <cellStyle name="40% - 强调文字颜色 6 13 7" xfId="6801"/>
    <cellStyle name="40% - 强调文字颜色 6 13 8" xfId="6802"/>
    <cellStyle name="40% - 强调文字颜色 6 13 9" xfId="6803"/>
    <cellStyle name="标题 4 10 4 2" xfId="6804"/>
    <cellStyle name="40% - 强调文字颜色 6 14" xfId="6805"/>
    <cellStyle name="40% - 强调文字颜色 6 14 2" xfId="6806"/>
    <cellStyle name="40% - 强调文字颜色 6 14 2 2" xfId="6807"/>
    <cellStyle name="40% - 强调文字颜色 6 4 5" xfId="6808"/>
    <cellStyle name="40% - 强调文字颜色 6 14 2 2 2" xfId="6809"/>
    <cellStyle name="40% - 强调文字颜色 6 4 5 2" xfId="6810"/>
    <cellStyle name="40% - 强调文字颜色 6 14 2 3" xfId="6811"/>
    <cellStyle name="40% - 强调文字颜色 6 4 6" xfId="6812"/>
    <cellStyle name="40% - 强调文字颜色 6 14 3" xfId="6813"/>
    <cellStyle name="40% - 强调文字颜色 6 14 3 2" xfId="6814"/>
    <cellStyle name="40% - 强调文字颜色 6 5 5" xfId="6815"/>
    <cellStyle name="40% - 强调文字颜色 6 14 4" xfId="6816"/>
    <cellStyle name="40% - 强调文字颜色 6 15" xfId="6817"/>
    <cellStyle name="输出 5 4 3 2" xfId="6818"/>
    <cellStyle name="40% - 强调文字颜色 6 15 2" xfId="6819"/>
    <cellStyle name="40% - 强调文字颜色 6 15 2 2" xfId="6820"/>
    <cellStyle name="百分比 2 9" xfId="6821"/>
    <cellStyle name="常规 15 5" xfId="6822"/>
    <cellStyle name="40% - 强调文字颜色 6 15 3" xfId="6823"/>
    <cellStyle name="40% - 强调文字颜色 6 16" xfId="6824"/>
    <cellStyle name="40% - 强调文字颜色 6 16 2" xfId="6825"/>
    <cellStyle name="40% - 强调文字颜色 6 17" xfId="6826"/>
    <cellStyle name="40% - 强调文字颜色 6 2" xfId="6827"/>
    <cellStyle name="计算 6 4 5" xfId="6828"/>
    <cellStyle name="适中 8 2 2" xfId="6829"/>
    <cellStyle name="40% - 强调文字颜色 6 2 10" xfId="6830"/>
    <cellStyle name="40% - 强调文字颜色 6 2 11" xfId="6831"/>
    <cellStyle name="标题 2 2 4 2" xfId="6832"/>
    <cellStyle name="40% - 强调文字颜色 6 2 12" xfId="6833"/>
    <cellStyle name="标题 2 2 4 3" xfId="6834"/>
    <cellStyle name="40% - 强调文字颜色 6 2 2" xfId="6835"/>
    <cellStyle name="适中 8 2 2 2" xfId="6836"/>
    <cellStyle name="40% - 强调文字颜色 6 2 2 2" xfId="6837"/>
    <cellStyle name="常规 4 3 4" xfId="6838"/>
    <cellStyle name="输出 4 4 6" xfId="6839"/>
    <cellStyle name="40% - 强调文字颜色 6 2 2 2 2" xfId="6840"/>
    <cellStyle name="常规 4 3 4 2" xfId="6841"/>
    <cellStyle name="40% - 强调文字颜色 6 2 2 2 2 2" xfId="6842"/>
    <cellStyle name="40% - 强调文字颜色 6 2 2 2 2 2 2" xfId="6843"/>
    <cellStyle name="40% - 强调文字颜色 6 2 2 2 2 3" xfId="6844"/>
    <cellStyle name="40% - 强调文字颜色 6 2 2 2 2 3 2" xfId="6845"/>
    <cellStyle name="40% - 强调文字颜色 6 2 2 2 2 4" xfId="6846"/>
    <cellStyle name="40% - 强调文字颜色 6 2 2 2 3" xfId="6847"/>
    <cellStyle name="40% - 强调文字颜色 6 2 2 2 3 2" xfId="6848"/>
    <cellStyle name="40% - 强调文字颜色 6 2 2 2 4" xfId="6849"/>
    <cellStyle name="40% - 强调文字颜色 6 2 2 3" xfId="6850"/>
    <cellStyle name="常规 4 3 5" xfId="6851"/>
    <cellStyle name="40% - 强调文字颜色 6 2 2 3 2" xfId="6852"/>
    <cellStyle name="常规 4 3 5 2" xfId="6853"/>
    <cellStyle name="40% - 强调文字颜色 6 2 2 3 2 2" xfId="6854"/>
    <cellStyle name="Header2 4 10" xfId="6855"/>
    <cellStyle name="40% - 强调文字颜色 6 2 2 3 3" xfId="6856"/>
    <cellStyle name="40% - 强调文字颜色 6 2 2 4" xfId="6857"/>
    <cellStyle name="常规 4 3 6" xfId="6858"/>
    <cellStyle name="40% - 强调文字颜色 6 2 2 4 2" xfId="6859"/>
    <cellStyle name="40% - 强调文字颜色 6 2 2 5" xfId="6860"/>
    <cellStyle name="常规 4 3 7" xfId="6861"/>
    <cellStyle name="40% - 强调文字颜色 6 2 2 6" xfId="6862"/>
    <cellStyle name="60% - 强调文字颜色 6 12 3 2" xfId="6863"/>
    <cellStyle name="百分比 5 2 2 2" xfId="6864"/>
    <cellStyle name="常规 4 3 8" xfId="6865"/>
    <cellStyle name="40% - 强调文字颜色 6 2 3" xfId="6866"/>
    <cellStyle name="40% - 强调文字颜色 6 2 3 2" xfId="6867"/>
    <cellStyle name="常规 4 4 4" xfId="6868"/>
    <cellStyle name="输出 4 5 6" xfId="6869"/>
    <cellStyle name="40% - 强调文字颜色 6 2 3 2 2" xfId="6870"/>
    <cellStyle name="40% - 强调文字颜色 6 2 3 2 2 2" xfId="6871"/>
    <cellStyle name="40% - 强调文字颜色 6 2 3 2 3" xfId="6872"/>
    <cellStyle name="40% - 强调文字颜色 6 2 3 3" xfId="6873"/>
    <cellStyle name="常规 4 4 5" xfId="6874"/>
    <cellStyle name="40% - 强调文字颜色 6 2 3 3 2" xfId="6875"/>
    <cellStyle name="40% - 强调文字颜色 6 2 3 4" xfId="6876"/>
    <cellStyle name="40% - 强调文字颜色 6 2 3 5" xfId="6877"/>
    <cellStyle name="40% - 强调文字颜色 6 2 4" xfId="6878"/>
    <cellStyle name="40% - 强调文字颜色 6 2 4 2" xfId="6879"/>
    <cellStyle name="常规 4 5 4" xfId="6880"/>
    <cellStyle name="输出 4 6 6" xfId="6881"/>
    <cellStyle name="40% - 强调文字颜色 6 2 4 2 2" xfId="6882"/>
    <cellStyle name="60% - 强调文字颜色 3 10 3 3" xfId="6883"/>
    <cellStyle name="40% - 强调文字颜色 6 2 4 2 2 2" xfId="6884"/>
    <cellStyle name="60% - 强调文字颜色 3 10 3 3 2" xfId="6885"/>
    <cellStyle name="40% - 强调文字颜色 6 2 4 2 3" xfId="6886"/>
    <cellStyle name="60% - 强调文字颜色 3 10 3 4" xfId="6887"/>
    <cellStyle name="40% - 强调文字颜色 6 2 4 3" xfId="6888"/>
    <cellStyle name="40% - 强调文字颜色 6 2 4 3 2" xfId="6889"/>
    <cellStyle name="60% - 强调文字颜色 3 10 4 3" xfId="6890"/>
    <cellStyle name="40% - 强调文字颜色 6 2 4 4" xfId="6891"/>
    <cellStyle name="40% - 强调文字颜色 6 2 4 5" xfId="6892"/>
    <cellStyle name="40% - 强调文字颜色 6 2 5" xfId="6893"/>
    <cellStyle name="40% - 强调文字颜色 6 2 5 2" xfId="6894"/>
    <cellStyle name="常规 4 6 4" xfId="6895"/>
    <cellStyle name="40% - 强调文字颜色 6 2 5 2 2" xfId="6896"/>
    <cellStyle name="60% - 强调文字颜色 3 11 3 3" xfId="6897"/>
    <cellStyle name="40% - 强调文字颜色 6 2 5 3" xfId="6898"/>
    <cellStyle name="40% - 强调文字颜色 6 2 6" xfId="6899"/>
    <cellStyle name="40% - 强调文字颜色 6 2 6 2" xfId="6900"/>
    <cellStyle name="40% - 强调文字颜色 6 2 7" xfId="6901"/>
    <cellStyle name="40% - 强调文字颜色 6 2 7 2" xfId="6902"/>
    <cellStyle name="40% - 强调文字颜色 6 2 8" xfId="6903"/>
    <cellStyle name="Header2 5 10 2" xfId="6904"/>
    <cellStyle name="40% - 强调文字颜色 6 2 9" xfId="6905"/>
    <cellStyle name="40% - 强调文字颜色 6 3" xfId="6906"/>
    <cellStyle name="适中 8 2 3" xfId="6907"/>
    <cellStyle name="40% - 强调文字颜色 6 3 10" xfId="6908"/>
    <cellStyle name="40% - 强调文字颜色 6 3 11" xfId="6909"/>
    <cellStyle name="40% - 强调文字颜色 6 3 12" xfId="6910"/>
    <cellStyle name="40% - 强调文字颜色 6 3 2" xfId="6911"/>
    <cellStyle name="40% - 强调文字颜色 6 3 2 2" xfId="6912"/>
    <cellStyle name="常规 5 3 4" xfId="6913"/>
    <cellStyle name="输出 5 4 6" xfId="6914"/>
    <cellStyle name="40% - 强调文字颜色 6 3 2 2 2" xfId="6915"/>
    <cellStyle name="常规 5 3 4 2" xfId="6916"/>
    <cellStyle name="40% - 强调文字颜色 6 3 2 2 2 2" xfId="6917"/>
    <cellStyle name="常规 5 3 4 2 2" xfId="6918"/>
    <cellStyle name="40% - 强调文字颜色 6 3 2 2 3" xfId="6919"/>
    <cellStyle name="常规 5 3 4 3" xfId="6920"/>
    <cellStyle name="40% - 强调文字颜色 6 3 2 3" xfId="6921"/>
    <cellStyle name="常规 5 3 5" xfId="6922"/>
    <cellStyle name="40% - 强调文字颜色 6 3 2 3 2" xfId="6923"/>
    <cellStyle name="常规 5 3 5 2" xfId="6924"/>
    <cellStyle name="40% - 强调文字颜色 6 3 2 4" xfId="6925"/>
    <cellStyle name="常规 5 3 6" xfId="6926"/>
    <cellStyle name="40% - 强调文字颜色 6 3 2 5" xfId="6927"/>
    <cellStyle name="常规 5 3 7" xfId="6928"/>
    <cellStyle name="40% - 强调文字颜色 6 3 3" xfId="6929"/>
    <cellStyle name="40% - 强调文字颜色 6 3 3 2" xfId="6930"/>
    <cellStyle name="常规 5 4 4" xfId="6931"/>
    <cellStyle name="输出 5 5 6" xfId="6932"/>
    <cellStyle name="40% - 强调文字颜色 6 3 3 2 2" xfId="6933"/>
    <cellStyle name="常规 5 4 4 2" xfId="6934"/>
    <cellStyle name="40% - 强调文字颜色 6 3 3 2 2 2" xfId="6935"/>
    <cellStyle name="40% - 强调文字颜色 6 3 3 2 3" xfId="6936"/>
    <cellStyle name="常规 5 4 4 3" xfId="6937"/>
    <cellStyle name="40% - 强调文字颜色 6 3 3 3" xfId="6938"/>
    <cellStyle name="常规 5 4 5" xfId="6939"/>
    <cellStyle name="40% - 强调文字颜色 6 3 3 3 2" xfId="6940"/>
    <cellStyle name="常规 5 4 5 2" xfId="6941"/>
    <cellStyle name="40% - 强调文字颜色 6 3 3 4" xfId="6942"/>
    <cellStyle name="常规 5 4 6" xfId="6943"/>
    <cellStyle name="40% - 强调文字颜色 6 3 4" xfId="6944"/>
    <cellStyle name="40% - 强调文字颜色 6 3 4 2" xfId="6945"/>
    <cellStyle name="常规 5 5 4" xfId="6946"/>
    <cellStyle name="输出 5 6 6" xfId="6947"/>
    <cellStyle name="40% - 强调文字颜色 6 3 4 2 2" xfId="6948"/>
    <cellStyle name="常规 5 5 4 2" xfId="6949"/>
    <cellStyle name="40% - 强调文字颜色 6 3 4 3" xfId="6950"/>
    <cellStyle name="常规 5 5 5" xfId="6951"/>
    <cellStyle name="40% - 强调文字颜色 6 3 5" xfId="6952"/>
    <cellStyle name="40% - 强调文字颜色 6 3 5 2" xfId="6953"/>
    <cellStyle name="常规 5 6 4" xfId="6954"/>
    <cellStyle name="40% - 强调文字颜色 6 3 6" xfId="6955"/>
    <cellStyle name="40% - 强调文字颜色 6 3 6 2" xfId="6956"/>
    <cellStyle name="常规 5 7 4" xfId="6957"/>
    <cellStyle name="40% - 强调文字颜色 6 3 7" xfId="6958"/>
    <cellStyle name="40% - 强调文字颜色 6 3 8" xfId="6959"/>
    <cellStyle name="40% - 强调文字颜色 6 3 9" xfId="6960"/>
    <cellStyle name="40% - 强调文字颜色 6 4" xfId="6961"/>
    <cellStyle name="适中 8 2 4" xfId="6962"/>
    <cellStyle name="40% - 强调文字颜色 6 4 10" xfId="6963"/>
    <cellStyle name="标题 4 10 3 3" xfId="6964"/>
    <cellStyle name="40% - 强调文字颜色 6 4 11" xfId="6965"/>
    <cellStyle name="40% - 强调文字颜色 6 4 12" xfId="6966"/>
    <cellStyle name="40% - 强调文字颜色 6 4 2" xfId="6967"/>
    <cellStyle name="40% - 强调文字颜色 6 4 2 2" xfId="6968"/>
    <cellStyle name="常规 6 3 4" xfId="6969"/>
    <cellStyle name="输出 6 4 6" xfId="6970"/>
    <cellStyle name="40% - 强调文字颜色 6 4 2 2 2" xfId="6971"/>
    <cellStyle name="常规 6 3 4 2" xfId="6972"/>
    <cellStyle name="40% - 强调文字颜色 6 4 2 2 2 2" xfId="6973"/>
    <cellStyle name="40% - 强调文字颜色 6 4 2 2 3" xfId="6974"/>
    <cellStyle name="40% - 强调文字颜色 6 4 2 3" xfId="6975"/>
    <cellStyle name="常规 6 3 5" xfId="6976"/>
    <cellStyle name="40% - 强调文字颜色 6 4 2 3 2" xfId="6977"/>
    <cellStyle name="40% - 强调文字颜色 6 4 2 4" xfId="6978"/>
    <cellStyle name="常规 6 3 6" xfId="6979"/>
    <cellStyle name="40% - 强调文字颜色 6 4 2 5" xfId="6980"/>
    <cellStyle name="常规 6 3 7" xfId="6981"/>
    <cellStyle name="40% - 强调文字颜色 6 4 3" xfId="6982"/>
    <cellStyle name="40% - 强调文字颜色 6 4 3 2" xfId="6983"/>
    <cellStyle name="常规 6 4 4" xfId="6984"/>
    <cellStyle name="输出 6 5 6" xfId="6985"/>
    <cellStyle name="40% - 强调文字颜色 6 4 3 2 2" xfId="6986"/>
    <cellStyle name="常规 6 4 4 2" xfId="6987"/>
    <cellStyle name="40% - 强调文字颜色 6 4 3 2 2 2" xfId="6988"/>
    <cellStyle name="40% - 强调文字颜色 6 4 3 2 3" xfId="6989"/>
    <cellStyle name="40% - 强调文字颜色 6 4 3 3" xfId="6990"/>
    <cellStyle name="常规 6 4 5" xfId="6991"/>
    <cellStyle name="40% - 强调文字颜色 6 4 3 3 2" xfId="6992"/>
    <cellStyle name="40% - 强调文字颜色 6 4 3 4" xfId="6993"/>
    <cellStyle name="常规 6 4 6" xfId="6994"/>
    <cellStyle name="40% - 强调文字颜色 6 4 4" xfId="6995"/>
    <cellStyle name="40% - 强调文字颜色 6 4 4 2" xfId="6996"/>
    <cellStyle name="常规 6 5 4" xfId="6997"/>
    <cellStyle name="输出 6 6 6" xfId="6998"/>
    <cellStyle name="40% - 强调文字颜色 6 4 4 2 2" xfId="6999"/>
    <cellStyle name="40% - 强调文字颜色 6 4 4 3" xfId="7000"/>
    <cellStyle name="常规 6 5 5" xfId="7001"/>
    <cellStyle name="40% - 强调文字颜色 6 4 6 2" xfId="7002"/>
    <cellStyle name="40% - 强调文字颜色 6 4 7" xfId="7003"/>
    <cellStyle name="40% - 强调文字颜色 6 4 8" xfId="7004"/>
    <cellStyle name="40% - 强调文字颜色 6 4 9" xfId="7005"/>
    <cellStyle name="强调文字颜色 4 9 2 2" xfId="7006"/>
    <cellStyle name="40% - 强调文字颜色 6 5" xfId="7007"/>
    <cellStyle name="注释 6 2 2 2" xfId="7008"/>
    <cellStyle name="40% - 强调文字颜色 6 5 10" xfId="7009"/>
    <cellStyle name="40% - 强调文字颜色 6 5 11" xfId="7010"/>
    <cellStyle name="40% - 强调文字颜色 6 5 12" xfId="7011"/>
    <cellStyle name="40% - 强调文字颜色 6 5 2" xfId="7012"/>
    <cellStyle name="40% - 强调文字颜色 6 5 2 2" xfId="7013"/>
    <cellStyle name="常规 7 3 4" xfId="7014"/>
    <cellStyle name="输出 7 4 6" xfId="7015"/>
    <cellStyle name="40% - 强调文字颜色 6 5 2 2 2" xfId="7016"/>
    <cellStyle name="常规 7 3 4 2" xfId="7017"/>
    <cellStyle name="40% - 强调文字颜色 6 5 2 2 2 2" xfId="7018"/>
    <cellStyle name="常规 7 3 4 2 2" xfId="7019"/>
    <cellStyle name="40% - 强调文字颜色 6 5 2 2 3" xfId="7020"/>
    <cellStyle name="常规 7 3 4 3" xfId="7021"/>
    <cellStyle name="40% - 强调文字颜色 6 5 2 3" xfId="7022"/>
    <cellStyle name="常规 7 3 5" xfId="7023"/>
    <cellStyle name="40% - 强调文字颜色 6 5 2 3 2" xfId="7024"/>
    <cellStyle name="常规 7 3 5 2" xfId="7025"/>
    <cellStyle name="40% - 强调文字颜色 6 5 2 4" xfId="7026"/>
    <cellStyle name="常规 7 3 6" xfId="7027"/>
    <cellStyle name="40% - 强调文字颜色 6 5 2 5" xfId="7028"/>
    <cellStyle name="常规 7 3 7" xfId="7029"/>
    <cellStyle name="40% - 强调文字颜色 6 5 3" xfId="7030"/>
    <cellStyle name="40% - 强调文字颜色 6 5 3 2" xfId="7031"/>
    <cellStyle name="常规 7 4 4" xfId="7032"/>
    <cellStyle name="输出 7 5 6" xfId="7033"/>
    <cellStyle name="40% - 强调文字颜色 6 5 3 2 2" xfId="7034"/>
    <cellStyle name="常规 7 4 4 2" xfId="7035"/>
    <cellStyle name="40% - 强调文字颜色 6 5 3 2 2 2" xfId="7036"/>
    <cellStyle name="40% - 强调文字颜色 6 5 3 2 3" xfId="7037"/>
    <cellStyle name="常规 7 4 4 3" xfId="7038"/>
    <cellStyle name="40% - 强调文字颜色 6 5 3 3" xfId="7039"/>
    <cellStyle name="常规 7 4 5" xfId="7040"/>
    <cellStyle name="40% - 强调文字颜色 6 5 3 3 2" xfId="7041"/>
    <cellStyle name="常规 7 4 5 2" xfId="7042"/>
    <cellStyle name="40% - 强调文字颜色 6 5 3 4" xfId="7043"/>
    <cellStyle name="常规 7 4 6" xfId="7044"/>
    <cellStyle name="40% - 强调文字颜色 6 5 4" xfId="7045"/>
    <cellStyle name="40% - 强调文字颜色 6 5 4 2" xfId="7046"/>
    <cellStyle name="常规 7 5 4" xfId="7047"/>
    <cellStyle name="输出 7 6 6" xfId="7048"/>
    <cellStyle name="40% - 强调文字颜色 6 5 4 2 2" xfId="7049"/>
    <cellStyle name="40% - 强调文字颜色 6 5 4 3" xfId="7050"/>
    <cellStyle name="40% - 强调文字颜色 6 5 5 2" xfId="7051"/>
    <cellStyle name="40% - 强调文字颜色 6 5 6" xfId="7052"/>
    <cellStyle name="40% - 强调文字颜色 6 5 6 2" xfId="7053"/>
    <cellStyle name="40% - 强调文字颜色 6 5 7" xfId="7054"/>
    <cellStyle name="40% - 强调文字颜色 6 5 8" xfId="7055"/>
    <cellStyle name="40% - 强调文字颜色 6 6" xfId="7056"/>
    <cellStyle name="40% - 强调文字颜色 6 6 10" xfId="7057"/>
    <cellStyle name="注释 2 2 2" xfId="7058"/>
    <cellStyle name="40% - 强调文字颜色 6 6 12" xfId="7059"/>
    <cellStyle name="注释 2 2 4" xfId="7060"/>
    <cellStyle name="40% - 强调文字颜色 6 6 2 2" xfId="7061"/>
    <cellStyle name="常规 8 3 4" xfId="7062"/>
    <cellStyle name="输出 8 4 6" xfId="7063"/>
    <cellStyle name="40% - 强调文字颜色 6 6 2 2 2" xfId="7064"/>
    <cellStyle name="计算 5 4" xfId="7065"/>
    <cellStyle name="40% - 强调文字颜色 6 6 2 2 2 2" xfId="7066"/>
    <cellStyle name="计算 5 4 2" xfId="7067"/>
    <cellStyle name="40% - 强调文字颜色 6 6 2 2 3" xfId="7068"/>
    <cellStyle name="计算 5 5" xfId="7069"/>
    <cellStyle name="40% - 强调文字颜色 6 6 2 3" xfId="7070"/>
    <cellStyle name="常规 8 3 5" xfId="7071"/>
    <cellStyle name="40% - 强调文字颜色 6 6 2 3 2" xfId="7072"/>
    <cellStyle name="计算 6 4" xfId="7073"/>
    <cellStyle name="40% - 强调文字颜色 6 6 2 4" xfId="7074"/>
    <cellStyle name="40% - 强调文字颜色 6 6 2 5" xfId="7075"/>
    <cellStyle name="40% - 强调文字颜色 6 6 3" xfId="7076"/>
    <cellStyle name="常规 13 2 2 2" xfId="7077"/>
    <cellStyle name="40% - 强调文字颜色 6 6 3 2" xfId="7078"/>
    <cellStyle name="常规 8 4 4" xfId="7079"/>
    <cellStyle name="输出 8 5 6" xfId="7080"/>
    <cellStyle name="40% - 强调文字颜色 6 6 3 2 2" xfId="7081"/>
    <cellStyle name="40% - 强调文字颜色 6 6 3 2 2 2" xfId="7082"/>
    <cellStyle name="40% - 强调文字颜色 6 6 3 2 3" xfId="7083"/>
    <cellStyle name="常规 2 2 2 3 2" xfId="7084"/>
    <cellStyle name="40% - 强调文字颜色 6 6 3 3 2" xfId="7085"/>
    <cellStyle name="40% - 强调文字颜色 6 6 4" xfId="7086"/>
    <cellStyle name="常规 2 2 2 2 3 2 2" xfId="7087"/>
    <cellStyle name="40% - 强调文字颜色 6 6 4 2 2" xfId="7088"/>
    <cellStyle name="40% - 强调文字颜色 6 6 4 3" xfId="7089"/>
    <cellStyle name="常规 8 5 5" xfId="7090"/>
    <cellStyle name="40% - 强调文字颜色 6 6 5" xfId="7091"/>
    <cellStyle name="40% - 强调文字颜色 6 6 6" xfId="7092"/>
    <cellStyle name="40% - 强调文字颜色 6 6 6 2" xfId="7093"/>
    <cellStyle name="40% - 强调文字颜色 6 6 7" xfId="7094"/>
    <cellStyle name="40% - 强调文字颜色 6 6 8" xfId="7095"/>
    <cellStyle name="40% - 强调文字颜色 6 7" xfId="7096"/>
    <cellStyle name="40% - 强调文字颜色 6 7 10" xfId="7097"/>
    <cellStyle name="注释 2 7 2" xfId="7098"/>
    <cellStyle name="40% - 强调文字颜色 6 7 11" xfId="7099"/>
    <cellStyle name="标题 2 3 4 2" xfId="7100"/>
    <cellStyle name="40% - 强调文字颜色 6 7 12" xfId="7101"/>
    <cellStyle name="40% - 强调文字颜色 6 7 2" xfId="7102"/>
    <cellStyle name="40% - 强调文字颜色 6 7 2 2" xfId="7103"/>
    <cellStyle name="输出 9 4 6" xfId="7104"/>
    <cellStyle name="40% - 强调文字颜色 6 7 2 2 2" xfId="7105"/>
    <cellStyle name="40% - 强调文字颜色 6 7 2 2 2 2" xfId="7106"/>
    <cellStyle name="40% - 强调文字颜色 6 7 2 2 3" xfId="7107"/>
    <cellStyle name="40% - 强调文字颜色 6 7 2 3" xfId="7108"/>
    <cellStyle name="40% - 强调文字颜色 6 7 2 3 2" xfId="7109"/>
    <cellStyle name="40% - 强调文字颜色 6 7 2 4" xfId="7110"/>
    <cellStyle name="40% - 强调文字颜色 6 7 2 5" xfId="7111"/>
    <cellStyle name="40% - 强调文字颜色 6 7 3" xfId="7112"/>
    <cellStyle name="40% - 强调文字颜色 6 7 3 2" xfId="7113"/>
    <cellStyle name="输出 9 5 6" xfId="7114"/>
    <cellStyle name="40% - 强调文字颜色 6 7 3 2 2" xfId="7115"/>
    <cellStyle name="差 2 12" xfId="7116"/>
    <cellStyle name="40% - 强调文字颜色 6 7 3 2 2 2" xfId="7117"/>
    <cellStyle name="40% - 强调文字颜色 6 7 3 2 3" xfId="7118"/>
    <cellStyle name="常规 2 3 2 3 2" xfId="7119"/>
    <cellStyle name="40% - 强调文字颜色 6 7 3 3" xfId="7120"/>
    <cellStyle name="40% - 强调文字颜色 6 7 3 3 2" xfId="7121"/>
    <cellStyle name="40% - 强调文字颜色 6 7 3 4" xfId="7122"/>
    <cellStyle name="40% - 强调文字颜色 6 7 4" xfId="7123"/>
    <cellStyle name="40% - 强调文字颜色 6 7 4 2 2" xfId="7124"/>
    <cellStyle name="60% - 强调文字颜色 4 10 3 3" xfId="7125"/>
    <cellStyle name="差 7 12" xfId="7126"/>
    <cellStyle name="40% - 强调文字颜色 6 7 4 3" xfId="7127"/>
    <cellStyle name="40% - 强调文字颜色 6 7 5" xfId="7128"/>
    <cellStyle name="40% - 强调文字颜色 6 7 5 2" xfId="7129"/>
    <cellStyle name="40% - 强调文字颜色 6 7 6" xfId="7130"/>
    <cellStyle name="40% - 强调文字颜色 6 7 6 2" xfId="7131"/>
    <cellStyle name="40% - 强调文字颜色 6 7 7" xfId="7132"/>
    <cellStyle name="40% - 强调文字颜色 6 7 8" xfId="7133"/>
    <cellStyle name="40% - 强调文字颜色 6 7 9" xfId="7134"/>
    <cellStyle name="强调文字颜色 4 9 5 2" xfId="7135"/>
    <cellStyle name="40% - 强调文字颜色 6 8" xfId="7136"/>
    <cellStyle name="40% - 强调文字颜色 6 8 10" xfId="7137"/>
    <cellStyle name="40% - 强调文字颜色 6 8 11" xfId="7138"/>
    <cellStyle name="40% - 强调文字颜色 6 8 12" xfId="7139"/>
    <cellStyle name="40% - 强调文字颜色 6 8 2" xfId="7140"/>
    <cellStyle name="40% - 强调文字颜色 6 8 2 2" xfId="7141"/>
    <cellStyle name="40% - 强调文字颜色 6 8 2 2 2" xfId="7142"/>
    <cellStyle name="40% - 强调文字颜色 6 8 2 2 2 2" xfId="7143"/>
    <cellStyle name="40% - 强调文字颜色 6 8 2 2 3" xfId="7144"/>
    <cellStyle name="40% - 强调文字颜色 6 8 2 3" xfId="7145"/>
    <cellStyle name="40% - 强调文字颜色 6 8 2 3 2" xfId="7146"/>
    <cellStyle name="40% - 强调文字颜色 6 8 2 4" xfId="7147"/>
    <cellStyle name="40% - 强调文字颜色 6 8 2 5" xfId="7148"/>
    <cellStyle name="40% - 强调文字颜色 6 8 3" xfId="7149"/>
    <cellStyle name="40% - 强调文字颜色 6 8 3 2 2 2" xfId="7150"/>
    <cellStyle name="40% - 强调文字颜色 6 8 3 2 3" xfId="7151"/>
    <cellStyle name="40% - 强调文字颜色 6 8 3 3 2" xfId="7152"/>
    <cellStyle name="40% - 强调文字颜色 6 8 4" xfId="7153"/>
    <cellStyle name="40% - 强调文字颜色 6 8 5" xfId="7154"/>
    <cellStyle name="40% - 强调文字颜色 6 8 6" xfId="7155"/>
    <cellStyle name="40% - 强调文字颜色 6 8 6 2" xfId="7156"/>
    <cellStyle name="标题 1 5" xfId="7157"/>
    <cellStyle name="40% - 强调文字颜色 6 8 7" xfId="7158"/>
    <cellStyle name="40% - 强调文字颜色 6 8 8" xfId="7159"/>
    <cellStyle name="40% - 强调文字颜色 6 8 9" xfId="7160"/>
    <cellStyle name="wrap" xfId="7161"/>
    <cellStyle name="强调文字颜色 4 9 6 2" xfId="7162"/>
    <cellStyle name="40% - 强调文字颜色 6 9" xfId="7163"/>
    <cellStyle name="40% - 强调文字颜色 6 9 10" xfId="7164"/>
    <cellStyle name="标题 4 11 3 3" xfId="7165"/>
    <cellStyle name="40% - 强调文字颜色 6 9 11" xfId="7166"/>
    <cellStyle name="40% - 强调文字颜色 6 9 12" xfId="7167"/>
    <cellStyle name="40% - 强调文字颜色 6 9 2" xfId="7168"/>
    <cellStyle name="40% - 强调文字颜色 6 9 2 2" xfId="7169"/>
    <cellStyle name="标题 4 8 2 2 3" xfId="7170"/>
    <cellStyle name="40% - 强调文字颜色 6 9 2 2 2" xfId="7171"/>
    <cellStyle name="40% - 强调文字颜色 6 9 2 2 2 2" xfId="7172"/>
    <cellStyle name="40% - 强调文字颜色 6 9 2 2 3" xfId="7173"/>
    <cellStyle name="40% - 强调文字颜色 6 9 2 3" xfId="7174"/>
    <cellStyle name="40% - 强调文字颜色 6 9 2 3 2" xfId="7175"/>
    <cellStyle name="40% - 强调文字颜色 6 9 2 4" xfId="7176"/>
    <cellStyle name="40% - 强调文字颜色 6 9 2 5" xfId="7177"/>
    <cellStyle name="40% - 强调文字颜色 6 9 3" xfId="7178"/>
    <cellStyle name="好_账龄10 2 2 2" xfId="7179"/>
    <cellStyle name="40% - 强调文字颜色 6 9 3 2 2 2" xfId="7180"/>
    <cellStyle name="差_账龄11 2 4" xfId="7181"/>
    <cellStyle name="40% - 强调文字颜色 6 9 3 2 3" xfId="7182"/>
    <cellStyle name="40% - 强调文字颜色 6 9 3 3 2" xfId="7183"/>
    <cellStyle name="40% - 强调文字颜色 6 9 4" xfId="7184"/>
    <cellStyle name="好_账龄10 2 2 3" xfId="7185"/>
    <cellStyle name="40% - 强调文字颜色 6 9 5" xfId="7186"/>
    <cellStyle name="40% - 强调文字颜色 6 9 6" xfId="7187"/>
    <cellStyle name="40% - 强调文字颜色 6 9 6 2" xfId="7188"/>
    <cellStyle name="40% - 强调文字颜色 6 9 7" xfId="7189"/>
    <cellStyle name="40% - 强调文字颜色 6 9 8" xfId="7190"/>
    <cellStyle name="输出 8 5 2 2" xfId="7191"/>
    <cellStyle name="40% - 强调文字颜色 6 9 9" xfId="7192"/>
    <cellStyle name="强调文字颜色 4 9 7 2" xfId="7193"/>
    <cellStyle name="60% - 强调文字颜色 1 10" xfId="7194"/>
    <cellStyle name="60% - 强调文字颜色 1 10 10" xfId="7195"/>
    <cellStyle name="60% - 强调文字颜色 3 6 3 3" xfId="7196"/>
    <cellStyle name="60% - 强调文字颜色 1 10 11" xfId="7197"/>
    <cellStyle name="60% - 强调文字颜色 3 6 3 4" xfId="7198"/>
    <cellStyle name="60% - 强调文字颜色 1 10 12" xfId="7199"/>
    <cellStyle name="60% - 强调文字颜色 1 10 2" xfId="7200"/>
    <cellStyle name="60% - 强调文字颜色 1 10 2 2" xfId="7201"/>
    <cellStyle name="60% - 强调文字颜色 1 10 2 2 2" xfId="7202"/>
    <cellStyle name="60% - 强调文字颜色 1 10 2 2 2 2" xfId="7203"/>
    <cellStyle name="60% - 强调文字颜色 1 10 2 2 3" xfId="7204"/>
    <cellStyle name="60% - 强调文字颜色 1 10 2 3" xfId="7205"/>
    <cellStyle name="输出 6 7 2" xfId="7206"/>
    <cellStyle name="60% - 强调文字颜色 1 10 2 3 2" xfId="7207"/>
    <cellStyle name="60% - 强调文字颜色 1 10 2 4" xfId="7208"/>
    <cellStyle name="標準_１１月価格表" xfId="7209"/>
    <cellStyle name="60% - 强调文字颜色 1 10 2 5" xfId="7210"/>
    <cellStyle name="60% - 强调文字颜色 1 10 3" xfId="7211"/>
    <cellStyle name="60% - 强调文字颜色 1 10 3 2" xfId="7212"/>
    <cellStyle name="60% - 强调文字颜色 1 10 3 2 2" xfId="7213"/>
    <cellStyle name="60% - 强调文字颜色 1 10 3 2 2 2" xfId="7214"/>
    <cellStyle name="60% - 强调文字颜色 1 10 3 2 3" xfId="7215"/>
    <cellStyle name="60% - 强调文字颜色 1 10 3 3" xfId="7216"/>
    <cellStyle name="输出 6 8 2" xfId="7217"/>
    <cellStyle name="60% - 强调文字颜色 1 10 3 3 2" xfId="7218"/>
    <cellStyle name="60% - 强调文字颜色 1 10 3 4" xfId="7219"/>
    <cellStyle name="60% - 强调文字颜色 1 10 4" xfId="7220"/>
    <cellStyle name="60% - 强调文字颜色 1 10 4 2" xfId="7221"/>
    <cellStyle name="60% - 强调文字颜色 1 10 4 2 2" xfId="7222"/>
    <cellStyle name="60% - 强调文字颜色 1 10 4 3" xfId="7223"/>
    <cellStyle name="输出 6 9 2" xfId="7224"/>
    <cellStyle name="60% - 强调文字颜色 1 10 5" xfId="7225"/>
    <cellStyle name="60% - 强调文字颜色 1 10 6" xfId="7226"/>
    <cellStyle name="60% - 强调文字颜色 1 10 6 2" xfId="7227"/>
    <cellStyle name="60% - 强调文字颜色 1 10 7" xfId="7228"/>
    <cellStyle name="60% - 强调文字颜色 1 10 8" xfId="7229"/>
    <cellStyle name="60% - 强调文字颜色 1 10 9" xfId="7230"/>
    <cellStyle name="60% - 强调文字颜色 1 11" xfId="7231"/>
    <cellStyle name="60% - 强调文字颜色 1 11 10" xfId="7232"/>
    <cellStyle name="60% - 强调文字颜色 1 11 11" xfId="7233"/>
    <cellStyle name="60% - 强调文字颜色 1 11 12" xfId="7234"/>
    <cellStyle name="60% - 强调文字颜色 1 11 2" xfId="7235"/>
    <cellStyle name="60% - 强调文字颜色 1 11 2 2" xfId="7236"/>
    <cellStyle name="60% - 强调文字颜色 1 11 2 2 2" xfId="7237"/>
    <cellStyle name="60% - 强调文字颜色 1 11 2 2 2 2" xfId="7238"/>
    <cellStyle name="60% - 强调文字颜色 1 11 2 2 3" xfId="7239"/>
    <cellStyle name="60% - 强调文字颜色 1 11 2 3" xfId="7240"/>
    <cellStyle name="输出 7 7 2" xfId="7241"/>
    <cellStyle name="60% - 强调文字颜色 1 11 2 3 2" xfId="7242"/>
    <cellStyle name="好 2 4" xfId="7243"/>
    <cellStyle name="60% - 强调文字颜色 1 11 2 4" xfId="7244"/>
    <cellStyle name="60% - 强调文字颜色 1 11 2 5" xfId="7245"/>
    <cellStyle name="常规 7 6 2" xfId="7246"/>
    <cellStyle name="60% - 强调文字颜色 1 11 3" xfId="7247"/>
    <cellStyle name="60% - 强调文字颜色 1 11 3 2" xfId="7248"/>
    <cellStyle name="60% - 强调文字颜色 1 11 3 2 2" xfId="7249"/>
    <cellStyle name="60% - 强调文字颜色 1 11 3 2 3" xfId="7250"/>
    <cellStyle name="60% - 强调文字颜色 1 11 3 3" xfId="7251"/>
    <cellStyle name="输出 7 8 2" xfId="7252"/>
    <cellStyle name="60% - 强调文字颜色 1 11 3 3 2" xfId="7253"/>
    <cellStyle name="常规 2 4 15" xfId="7254"/>
    <cellStyle name="60% - 强调文字颜色 1 11 3 4" xfId="7255"/>
    <cellStyle name="汇总 7 2 2 2" xfId="7256"/>
    <cellStyle name="60% - 强调文字颜色 1 11 4" xfId="7257"/>
    <cellStyle name="60% - 强调文字颜色 1 11 4 2" xfId="7258"/>
    <cellStyle name="60% - 强调文字颜色 1 11 4 2 2" xfId="7259"/>
    <cellStyle name="60% - 强调文字颜色 1 11 4 3" xfId="7260"/>
    <cellStyle name="60% - 强调文字颜色 5 3 2 2 2" xfId="7261"/>
    <cellStyle name="输出 7 9 2" xfId="7262"/>
    <cellStyle name="60% - 强调文字颜色 1 11 5" xfId="7263"/>
    <cellStyle name="60% - 强调文字颜色 1 11 5 2" xfId="7264"/>
    <cellStyle name="60% - 强调文字颜色 1 11 6" xfId="7265"/>
    <cellStyle name="60% - 强调文字颜色 1 11 6 2" xfId="7266"/>
    <cellStyle name="60% - 强调文字颜色 1 11 7" xfId="7267"/>
    <cellStyle name="60% - 强调文字颜色 1 11 8" xfId="7268"/>
    <cellStyle name="60% - 强调文字颜色 1 11 9" xfId="7269"/>
    <cellStyle name="60% - 强调文字颜色 1 12" xfId="7270"/>
    <cellStyle name="60% - 强调文字颜色 1 12 10" xfId="7271"/>
    <cellStyle name="60% - 强调文字颜色 1 12 11" xfId="7272"/>
    <cellStyle name="60% - 强调文字颜色 1 12 12" xfId="7273"/>
    <cellStyle name="60% - 强调文字颜色 1 12 2" xfId="7274"/>
    <cellStyle name="60% - 强调文字颜色 1 12 2 2" xfId="7275"/>
    <cellStyle name="60% - 强调文字颜色 1 12 2 2 2" xfId="7276"/>
    <cellStyle name="60% - 强调文字颜色 1 12 2 2 2 2" xfId="7277"/>
    <cellStyle name="60% - 强调文字颜色 1 12 2 2 3" xfId="7278"/>
    <cellStyle name="60% - 强调文字颜色 1 12 2 3" xfId="7279"/>
    <cellStyle name="输出 8 7 2" xfId="7280"/>
    <cellStyle name="60% - 强调文字颜色 1 12 2 3 2" xfId="7281"/>
    <cellStyle name="60% - 强调文字颜色 1 12 3" xfId="7282"/>
    <cellStyle name="60% - 强调文字颜色 1 12 3 2" xfId="7283"/>
    <cellStyle name="60% - 强调文字颜色 1 12 3 2 2" xfId="7284"/>
    <cellStyle name="60% - 强调文字颜色 1 12 3 2 2 2" xfId="7285"/>
    <cellStyle name="60% - 强调文字颜色 1 12 3 2 3" xfId="7286"/>
    <cellStyle name="60% - 强调文字颜色 1 12 3 3" xfId="7287"/>
    <cellStyle name="计算 9 2 2 2" xfId="7288"/>
    <cellStyle name="输出 8 8 2" xfId="7289"/>
    <cellStyle name="60% - 强调文字颜色 1 12 3 3 2" xfId="7290"/>
    <cellStyle name="常规 7 4 15" xfId="7291"/>
    <cellStyle name="60% - 强调文字颜色 1 12 4" xfId="7292"/>
    <cellStyle name="60% - 强调文字颜色 1 12 4 2" xfId="7293"/>
    <cellStyle name="60% - 强调文字颜色 1 12 4 2 2" xfId="7294"/>
    <cellStyle name="60% - 强调文字颜色 1 12 4 3" xfId="7295"/>
    <cellStyle name="60% - 强调文字颜色 5 3 3 2 2" xfId="7296"/>
    <cellStyle name="计算 9 2 3 2" xfId="7297"/>
    <cellStyle name="输出 8 9 2" xfId="7298"/>
    <cellStyle name="60% - 强调文字颜色 1 12 5" xfId="7299"/>
    <cellStyle name="60% - 强调文字颜色 1 12 5 2" xfId="7300"/>
    <cellStyle name="60% - 强调文字颜色 1 12 6" xfId="7301"/>
    <cellStyle name="60% - 强调文字颜色 1 12 6 2" xfId="7302"/>
    <cellStyle name="60% - 强调文字颜色 1 12 7" xfId="7303"/>
    <cellStyle name="60% - 强调文字颜色 1 12 8" xfId="7304"/>
    <cellStyle name="60% - 强调文字颜色 1 12 9" xfId="7305"/>
    <cellStyle name="Input [yellow] 2" xfId="7306"/>
    <cellStyle name="60% - 强调文字颜色 1 13" xfId="7307"/>
    <cellStyle name="60% - 强调文字颜色 1 13 10" xfId="7308"/>
    <cellStyle name="60% - 强调文字颜色 1 13 11" xfId="7309"/>
    <cellStyle name="Header2 3 2 6 2" xfId="7310"/>
    <cellStyle name="60% - 强调文字颜色 1 13 12" xfId="7311"/>
    <cellStyle name="60% - 强调文字颜色 1 13 13" xfId="7312"/>
    <cellStyle name="60% - 强调文字颜色 1 13 2" xfId="7313"/>
    <cellStyle name="60% - 强调文字颜色 1 13 2 2" xfId="7314"/>
    <cellStyle name="60% - 强调文字颜色 1 13 2 2 2" xfId="7315"/>
    <cellStyle name="检查单元格 6 2 3" xfId="7316"/>
    <cellStyle name="60% - 强调文字颜色 1 13 2 2 2 2" xfId="7317"/>
    <cellStyle name="标题 4 9 2 4" xfId="7318"/>
    <cellStyle name="60% - 强调文字颜色 1 13 2 2 3" xfId="7319"/>
    <cellStyle name="检查单元格 6 2 4" xfId="7320"/>
    <cellStyle name="60% - 强调文字颜色 1 13 2 3" xfId="7321"/>
    <cellStyle name="输出 9 7 2" xfId="7322"/>
    <cellStyle name="60% - 强调文字颜色 1 13 2 3 2" xfId="7323"/>
    <cellStyle name="60% - 强调文字颜色 1 13 3 2 2" xfId="7324"/>
    <cellStyle name="检查单元格 7 2 3" xfId="7325"/>
    <cellStyle name="60% - 强调文字颜色 1 13 3 2 2 2" xfId="7326"/>
    <cellStyle name="60% - 强调文字颜色 1 13 3 2 3" xfId="7327"/>
    <cellStyle name="检查单元格 7 2 4" xfId="7328"/>
    <cellStyle name="60% - 强调文字颜色 1 13 3 3" xfId="7329"/>
    <cellStyle name="计算 9 3 2 2" xfId="7330"/>
    <cellStyle name="输出 9 8 2" xfId="7331"/>
    <cellStyle name="60% - 强调文字颜色 1 13 3 3 2" xfId="7332"/>
    <cellStyle name="60% - 强调文字颜色 1 13 4 2" xfId="7333"/>
    <cellStyle name="60% - 强调文字颜色 1 13 4 2 2" xfId="7334"/>
    <cellStyle name="检查单元格 8 2 3" xfId="7335"/>
    <cellStyle name="60% - 强调文字颜色 1 13 4 3" xfId="7336"/>
    <cellStyle name="60% - 强调文字颜色 5 3 4 2 2" xfId="7337"/>
    <cellStyle name="输出 9 9 2" xfId="7338"/>
    <cellStyle name="60% - 强调文字颜色 1 13 5" xfId="7339"/>
    <cellStyle name="60% - 强调文字颜色 1 13 5 2" xfId="7340"/>
    <cellStyle name="60% - 强调文字颜色 1 13 6" xfId="7341"/>
    <cellStyle name="60% - 强调文字颜色 1 13 6 2" xfId="7342"/>
    <cellStyle name="60% - 强调文字颜色 1 13 7" xfId="7343"/>
    <cellStyle name="60% - 强调文字颜色 1 13 7 2" xfId="7344"/>
    <cellStyle name="60% - 强调文字颜色 1 13 8" xfId="7345"/>
    <cellStyle name="60% - 强调文字颜色 1 13 9" xfId="7346"/>
    <cellStyle name="60% - 强调文字颜色 1 14" xfId="7347"/>
    <cellStyle name="60% - 强调文字颜色 1 14 2" xfId="7348"/>
    <cellStyle name="输出 9 2 5" xfId="7349"/>
    <cellStyle name="60% - 强调文字颜色 1 14 2 2" xfId="7350"/>
    <cellStyle name="输出 9 2 5 2" xfId="7351"/>
    <cellStyle name="60% - 强调文字颜色 1 14 2 2 2" xfId="7352"/>
    <cellStyle name="60% - 强调文字颜色 1 14 2 3" xfId="7353"/>
    <cellStyle name="60% - 强调文字颜色 1 14 3 2" xfId="7354"/>
    <cellStyle name="60% - 强调文字颜色 1 14 4" xfId="7355"/>
    <cellStyle name="输出 9 2 7" xfId="7356"/>
    <cellStyle name="60% - 强调文字颜色 1 15" xfId="7357"/>
    <cellStyle name="60% - 强调文字颜色 1 15 2" xfId="7358"/>
    <cellStyle name="常规 9 2 3" xfId="7359"/>
    <cellStyle name="输出 9 3 5" xfId="7360"/>
    <cellStyle name="60% - 强调文字颜色 1 15 2 2" xfId="7361"/>
    <cellStyle name="常规 9 2 3 2" xfId="7362"/>
    <cellStyle name="输出 9 3 5 2" xfId="7363"/>
    <cellStyle name="60% - 强调文字颜色 1 15 3" xfId="7364"/>
    <cellStyle name="常规 9 2 4" xfId="7365"/>
    <cellStyle name="输出 9 3 6" xfId="7366"/>
    <cellStyle name="60% - 强调文字颜色 1 16" xfId="7367"/>
    <cellStyle name="注释 15 10" xfId="7368"/>
    <cellStyle name="注释 20 10" xfId="7369"/>
    <cellStyle name="60% - 强调文字颜色 1 16 2" xfId="7370"/>
    <cellStyle name="输出 9 4 5" xfId="7371"/>
    <cellStyle name="60% - 强调文字颜色 1 17" xfId="7372"/>
    <cellStyle name="注释 15 11" xfId="7373"/>
    <cellStyle name="注释 20 11" xfId="7374"/>
    <cellStyle name="60% - 强调文字颜色 1 2 10" xfId="7375"/>
    <cellStyle name="60% - 强调文字颜色 1 2 11" xfId="7376"/>
    <cellStyle name="60% - 强调文字颜色 1 2 12" xfId="7377"/>
    <cellStyle name="60% - 强调文字颜色 1 2 2" xfId="7378"/>
    <cellStyle name="60% - 强调文字颜色 1 2 2 2 2 3 2" xfId="7379"/>
    <cellStyle name="60% - 强调文字颜色 1 2 2 2 2 4" xfId="7380"/>
    <cellStyle name="差 10 2 5" xfId="7381"/>
    <cellStyle name="检查单元格 10 6 2" xfId="7382"/>
    <cellStyle name="60% - 强调文字颜色 1 2 3" xfId="7383"/>
    <cellStyle name="60% - 强调文字颜色 1 2 4" xfId="7384"/>
    <cellStyle name="60% - 强调文字颜色 1 2 5" xfId="7385"/>
    <cellStyle name="60% - 强调文字颜色 1 2 6" xfId="7386"/>
    <cellStyle name="60% - 强调文字颜色 1 2 6 2" xfId="7387"/>
    <cellStyle name="60% - 强调文字颜色 1 2 7" xfId="7388"/>
    <cellStyle name="60% - 强调文字颜色 1 2 7 2" xfId="7389"/>
    <cellStyle name="60% - 强调文字颜色 1 2 8" xfId="7390"/>
    <cellStyle name="60% - 强调文字颜色 1 2 9" xfId="7391"/>
    <cellStyle name="60% - 强调文字颜色 1 3" xfId="7392"/>
    <cellStyle name="60% - 强调文字颜色 1 3 10" xfId="7393"/>
    <cellStyle name="60% - 强调文字颜色 1 3 11" xfId="7394"/>
    <cellStyle name="60% - 强调文字颜色 1 3 12" xfId="7395"/>
    <cellStyle name="60% - 强调文字颜色 1 3 2" xfId="7396"/>
    <cellStyle name="60% - 强调文字颜色 1 3 3" xfId="7397"/>
    <cellStyle name="60% - 强调文字颜色 1 3 4" xfId="7398"/>
    <cellStyle name="60% - 强调文字颜色 1 3 5" xfId="7399"/>
    <cellStyle name="60% - 强调文字颜色 1 3 6" xfId="7400"/>
    <cellStyle name="60% - 强调文字颜色 1 3 6 2" xfId="7401"/>
    <cellStyle name="60% - 强调文字颜色 1 3 7" xfId="7402"/>
    <cellStyle name="注释 15 2 2" xfId="7403"/>
    <cellStyle name="注释 20 2 2" xfId="7404"/>
    <cellStyle name="60% - 强调文字颜色 1 3 8" xfId="7405"/>
    <cellStyle name="注释 15 2 3" xfId="7406"/>
    <cellStyle name="注释 20 2 3" xfId="7407"/>
    <cellStyle name="60% - 强调文字颜色 1 3 9" xfId="7408"/>
    <cellStyle name="60% - 强调文字颜色 1 4 10" xfId="7409"/>
    <cellStyle name="60% - 强调文字颜色 1 4 11" xfId="7410"/>
    <cellStyle name="千位分隔 17 2 2 2" xfId="7411"/>
    <cellStyle name="60% - 强调文字颜色 1 4 12" xfId="7412"/>
    <cellStyle name="60% - 强调文字颜色 1 4 3" xfId="7413"/>
    <cellStyle name="60% - 强调文字颜色 1 4 4" xfId="7414"/>
    <cellStyle name="60% - 强调文字颜色 1 4 5" xfId="7415"/>
    <cellStyle name="60% - 强调文字颜色 1 4 6" xfId="7416"/>
    <cellStyle name="60% - 强调文字颜色 1 4 6 2" xfId="7417"/>
    <cellStyle name="60% - 强调文字颜色 1 4 7" xfId="7418"/>
    <cellStyle name="注释 15 3 2" xfId="7419"/>
    <cellStyle name="注释 20 3 2" xfId="7420"/>
    <cellStyle name="60% - 强调文字颜色 1 4 8" xfId="7421"/>
    <cellStyle name="注释 15 3 3" xfId="7422"/>
    <cellStyle name="注释 20 3 3" xfId="7423"/>
    <cellStyle name="60% - 强调文字颜色 1 4 9" xfId="7424"/>
    <cellStyle name="注释 3 2 2 2" xfId="7425"/>
    <cellStyle name="60% - 强调文字颜色 1 5 10" xfId="7426"/>
    <cellStyle name="常规 18 3 3 5" xfId="7427"/>
    <cellStyle name="60% - 强调文字颜色 1 5 11" xfId="7428"/>
    <cellStyle name="常规 18 3 3 6" xfId="7429"/>
    <cellStyle name="60% - 强调文字颜色 1 5 12" xfId="7430"/>
    <cellStyle name="常规 18 3 3 7" xfId="7431"/>
    <cellStyle name="60% - 强调文字颜色 1 5 2" xfId="7432"/>
    <cellStyle name="60% - 强调文字颜色 1 5 3" xfId="7433"/>
    <cellStyle name="60% - 强调文字颜色 5 2 4 2 2 2" xfId="7434"/>
    <cellStyle name="60% - 强调文字颜色 1 5 4" xfId="7435"/>
    <cellStyle name="60% - 强调文字颜色 1 5 5" xfId="7436"/>
    <cellStyle name="60% - 强调文字颜色 1 5 6" xfId="7437"/>
    <cellStyle name="常规 18 3 10" xfId="7438"/>
    <cellStyle name="60% - 强调文字颜色 1 5 6 2" xfId="7439"/>
    <cellStyle name="60% - 强调文字颜色 1 5 7" xfId="7440"/>
    <cellStyle name="常规 18 3 11" xfId="7441"/>
    <cellStyle name="注释 15 4 2" xfId="7442"/>
    <cellStyle name="注释 20 4 2" xfId="7443"/>
    <cellStyle name="60% - 强调文字颜色 1 5 8" xfId="7444"/>
    <cellStyle name="强调文字颜色 1 7 2 2 2" xfId="7445"/>
    <cellStyle name="60% - 强调文字颜色 1 5 9" xfId="7446"/>
    <cellStyle name="注释 3 2 3 2" xfId="7447"/>
    <cellStyle name="60% - 强调文字颜色 1 6" xfId="7448"/>
    <cellStyle name="60% - 强调文字颜色 1 6 10" xfId="7449"/>
    <cellStyle name="警告文本 4 3 3" xfId="7450"/>
    <cellStyle name="60% - 强调文字颜色 1 6 11" xfId="7451"/>
    <cellStyle name="60% - 强调文字颜色 1 6 2" xfId="7452"/>
    <cellStyle name="60% - 强调文字颜色 1 6 3" xfId="7453"/>
    <cellStyle name="60% - 强调文字颜色 1 6 4" xfId="7454"/>
    <cellStyle name="60% - 强调文字颜色 1 6 5" xfId="7455"/>
    <cellStyle name="60% - 强调文字颜色 1 6 6" xfId="7456"/>
    <cellStyle name="60% - 强调文字颜色 1 6 6 2" xfId="7457"/>
    <cellStyle name="60% - 强调文字颜色 1 6 7" xfId="7458"/>
    <cellStyle name="注释 15 5 2" xfId="7459"/>
    <cellStyle name="注释 20 5 2" xfId="7460"/>
    <cellStyle name="60% - 强调文字颜色 1 6 8" xfId="7461"/>
    <cellStyle name="强调文字颜色 3 3 10" xfId="7462"/>
    <cellStyle name="60% - 强调文字颜色 1 6 9" xfId="7463"/>
    <cellStyle name="强调文字颜色 3 3 11" xfId="7464"/>
    <cellStyle name="60% - 强调文字颜色 1 7" xfId="7465"/>
    <cellStyle name="60% - 强调文字颜色 1 7 10" xfId="7466"/>
    <cellStyle name="60% - 强调文字颜色 1 7 11" xfId="7467"/>
    <cellStyle name="60% - 强调文字颜色 1 7 12" xfId="7468"/>
    <cellStyle name="60% - 强调文字颜色 1 7 2" xfId="7469"/>
    <cellStyle name="60% - 强调文字颜色 1 7 2 2" xfId="7470"/>
    <cellStyle name="60% - 强调文字颜色 3 14" xfId="7471"/>
    <cellStyle name="60% - 强调文字颜色 1 7 2 2 2" xfId="7472"/>
    <cellStyle name="60% - 强调文字颜色 3 14 2" xfId="7473"/>
    <cellStyle name="好 8 3 3" xfId="7474"/>
    <cellStyle name="60% - 强调文字颜色 1 7 2 2 2 2" xfId="7475"/>
    <cellStyle name="60% - 强调文字颜色 3 14 2 2" xfId="7476"/>
    <cellStyle name="60% - 强调文字颜色 1 7 2 3" xfId="7477"/>
    <cellStyle name="60% - 强调文字颜色 3 15" xfId="7478"/>
    <cellStyle name="60% - 强调文字颜色 1 7 2 3 2" xfId="7479"/>
    <cellStyle name="60% - 强调文字颜色 3 15 2" xfId="7480"/>
    <cellStyle name="60% - 强调文字颜色 1 7 2 4" xfId="7481"/>
    <cellStyle name="60% - 强调文字颜色 3 16" xfId="7482"/>
    <cellStyle name="注释 17 10" xfId="7483"/>
    <cellStyle name="注释 22 10" xfId="7484"/>
    <cellStyle name="60% - 强调文字颜色 1 7 2 5" xfId="7485"/>
    <cellStyle name="60% - 强调文字颜色 3 17" xfId="7486"/>
    <cellStyle name="注释 17 11" xfId="7487"/>
    <cellStyle name="注释 22 11" xfId="7488"/>
    <cellStyle name="60% - 强调文字颜色 1 7 3" xfId="7489"/>
    <cellStyle name="60% - 强调文字颜色 1 7 3 2 2" xfId="7490"/>
    <cellStyle name="好 9 3 3" xfId="7491"/>
    <cellStyle name="60% - 强调文字颜色 1 7 3 2 2 2" xfId="7492"/>
    <cellStyle name="60% - 强调文字颜色 1 7 3 2 3" xfId="7493"/>
    <cellStyle name="60% - 强调文字颜色 4 2 4 2 2 2" xfId="7494"/>
    <cellStyle name="60% - 强调文字颜色 1 7 3 3" xfId="7495"/>
    <cellStyle name="60% - 强调文字颜色 1 7 3 3 2" xfId="7496"/>
    <cellStyle name="60% - 强调文字颜色 1 7 3 4" xfId="7497"/>
    <cellStyle name="60% - 强调文字颜色 1 7 4" xfId="7498"/>
    <cellStyle name="60% - 强调文字颜色 1 7 4 2" xfId="7499"/>
    <cellStyle name="60% - 强调文字颜色 1 7 4 2 2" xfId="7500"/>
    <cellStyle name="60% - 强调文字颜色 1 7 4 3" xfId="7501"/>
    <cellStyle name="60% - 强调文字颜色 1 7 5" xfId="7502"/>
    <cellStyle name="60% - 强调文字颜色 1 7 5 2" xfId="7503"/>
    <cellStyle name="检查单元格 12" xfId="7504"/>
    <cellStyle name="60% - 强调文字颜色 1 7 6" xfId="7505"/>
    <cellStyle name="60% - 强调文字颜色 1 7 6 2" xfId="7506"/>
    <cellStyle name="60% - 强调文字颜色 1 7 7" xfId="7507"/>
    <cellStyle name="注释 15 6 2" xfId="7508"/>
    <cellStyle name="注释 20 6 2" xfId="7509"/>
    <cellStyle name="60% - 强调文字颜色 1 7 8" xfId="7510"/>
    <cellStyle name="60% - 强调文字颜色 1 8" xfId="7511"/>
    <cellStyle name="60% - 强调文字颜色 1 8 10" xfId="7512"/>
    <cellStyle name="60% - 强调文字颜色 1 8 11" xfId="7513"/>
    <cellStyle name="60% - 强调文字颜色 1 8 12" xfId="7514"/>
    <cellStyle name="60% - 强调文字颜色 1 8 2" xfId="7515"/>
    <cellStyle name="60% - 强调文字颜色 1 8 2 2" xfId="7516"/>
    <cellStyle name="60% - 强调文字颜色 1 8 2 2 2" xfId="7517"/>
    <cellStyle name="60% - 强调文字颜色 1 8 2 2 2 2" xfId="7518"/>
    <cellStyle name="60% - 强调文字颜色 1 8 2 3" xfId="7519"/>
    <cellStyle name="标题 1 10 2" xfId="7520"/>
    <cellStyle name="60% - 强调文字颜色 1 8 2 3 2" xfId="7521"/>
    <cellStyle name="标题 1 10 2 2" xfId="7522"/>
    <cellStyle name="60% - 强调文字颜色 1 8 3" xfId="7523"/>
    <cellStyle name="60% - 强调文字颜色 3 8 3 2 2 2" xfId="7524"/>
    <cellStyle name="60% - 强调文字颜色 1 8 3 2" xfId="7525"/>
    <cellStyle name="60% - 强调文字颜色 1 8 3 2 2" xfId="7526"/>
    <cellStyle name="60% - 强调文字颜色 1 8 3 2 2 2" xfId="7527"/>
    <cellStyle name="60% - 强调文字颜色 1 8 3 2 3" xfId="7528"/>
    <cellStyle name="60% - 强调文字颜色 1 8 3 3" xfId="7529"/>
    <cellStyle name="标题 1 11 2" xfId="7530"/>
    <cellStyle name="60% - 强调文字颜色 1 8 3 3 2" xfId="7531"/>
    <cellStyle name="标题 1 11 2 2" xfId="7532"/>
    <cellStyle name="60% - 强调文字颜色 1 8 4" xfId="7533"/>
    <cellStyle name="60% - 强调文字颜色 1 8 4 2" xfId="7534"/>
    <cellStyle name="60% - 强调文字颜色 1 8 4 2 2" xfId="7535"/>
    <cellStyle name="常规 2 2 5 9" xfId="7536"/>
    <cellStyle name="60% - 强调文字颜色 1 8 4 3" xfId="7537"/>
    <cellStyle name="标题 1 12 2" xfId="7538"/>
    <cellStyle name="60% - 强调文字颜色 1 8 5" xfId="7539"/>
    <cellStyle name="60% - 强调文字颜色 1 8 5 2" xfId="7540"/>
    <cellStyle name="60% - 强调文字颜色 1 8 6" xfId="7541"/>
    <cellStyle name="60% - 强调文字颜色 1 8 6 2" xfId="7542"/>
    <cellStyle name="输出 13 18" xfId="7543"/>
    <cellStyle name="60% - 强调文字颜色 1 8 7" xfId="7544"/>
    <cellStyle name="60% - 强调文字颜色 1 8 8" xfId="7545"/>
    <cellStyle name="60% - 强调文字颜色 1 8 9" xfId="7546"/>
    <cellStyle name="60% - 强调文字颜色 1 9" xfId="7547"/>
    <cellStyle name="差_账龄02 4 2" xfId="7548"/>
    <cellStyle name="60% - 强调文字颜色 1 9 10" xfId="7549"/>
    <cellStyle name="60% - 强调文字颜色 1 9 11" xfId="7550"/>
    <cellStyle name="千位分隔 17 3 2 2" xfId="7551"/>
    <cellStyle name="60% - 强调文字颜色 1 9 12" xfId="7552"/>
    <cellStyle name="60% - 强调文字颜色 1 9 2" xfId="7553"/>
    <cellStyle name="强调文字颜色 3 10 4" xfId="7554"/>
    <cellStyle name="60% - 强调文字颜色 1 9 2 2" xfId="7555"/>
    <cellStyle name="强调文字颜色 3 10 4 2" xfId="7556"/>
    <cellStyle name="60% - 强调文字颜色 1 9 2 3" xfId="7557"/>
    <cellStyle name="60% - 强调文字颜色 1 9 2 3 2" xfId="7558"/>
    <cellStyle name="60% - 强调文字颜色 1 9 3" xfId="7559"/>
    <cellStyle name="强调文字颜色 3 10 5" xfId="7560"/>
    <cellStyle name="60% - 强调文字颜色 1 9 3 2" xfId="7561"/>
    <cellStyle name="强调文字颜色 3 10 5 2" xfId="7562"/>
    <cellStyle name="60% - 强调文字颜色 1 9 3 2 2" xfId="7563"/>
    <cellStyle name="60% - 强调文字颜色 1 9 3 2 2 2" xfId="7564"/>
    <cellStyle name="标题 2 13 2 5" xfId="7565"/>
    <cellStyle name="60% - 强调文字颜色 1 9 3 2 3" xfId="7566"/>
    <cellStyle name="60% - 强调文字颜色 1 9 3 3" xfId="7567"/>
    <cellStyle name="60% - 强调文字颜色 1 9 3 3 2" xfId="7568"/>
    <cellStyle name="60% - 强调文字颜色 1 9 4" xfId="7569"/>
    <cellStyle name="强调文字颜色 3 10 6" xfId="7570"/>
    <cellStyle name="60% - 强调文字颜色 1 9 4 2" xfId="7571"/>
    <cellStyle name="强调文字颜色 3 10 6 2" xfId="7572"/>
    <cellStyle name="60% - 强调文字颜色 1 9 4 2 2" xfId="7573"/>
    <cellStyle name="60% - 强调文字颜色 1 9 4 3" xfId="7574"/>
    <cellStyle name="60% - 强调文字颜色 1 9 5" xfId="7575"/>
    <cellStyle name="强调文字颜色 3 10 7" xfId="7576"/>
    <cellStyle name="60% - 强调文字颜色 1 9 5 2" xfId="7577"/>
    <cellStyle name="解释性文本 12" xfId="7578"/>
    <cellStyle name="强调文字颜色 3 10 7 2" xfId="7579"/>
    <cellStyle name="60% - 强调文字颜色 1 9 6" xfId="7580"/>
    <cellStyle name="强调文字颜色 3 10 8" xfId="7581"/>
    <cellStyle name="60% - 强调文字颜色 1 9 6 2" xfId="7582"/>
    <cellStyle name="60% - 强调文字颜色 1 9 7" xfId="7583"/>
    <cellStyle name="强调文字颜色 3 10 9" xfId="7584"/>
    <cellStyle name="60% - 强调文字颜色 1 9 8" xfId="7585"/>
    <cellStyle name="60% - 强调文字颜色 2 10" xfId="7586"/>
    <cellStyle name="60% - 强调文字颜色 2 10 10" xfId="7587"/>
    <cellStyle name="60% - 强调文字颜色 4 6 3 3" xfId="7588"/>
    <cellStyle name="60% - 强调文字颜色 2 10 12" xfId="7589"/>
    <cellStyle name="60% - 强调文字颜色 2 10 2" xfId="7590"/>
    <cellStyle name="60% - 强调文字颜色 2 10 2 2" xfId="7591"/>
    <cellStyle name="60% - 强调文字颜色 2 10 2 2 2" xfId="7592"/>
    <cellStyle name="60% - 强调文字颜色 2 10 2 2 2 2" xfId="7593"/>
    <cellStyle name="60% - 强调文字颜色 2 10 2 2 3" xfId="7594"/>
    <cellStyle name="60% - 强调文字颜色 2 10 2 3" xfId="7595"/>
    <cellStyle name="60% - 强调文字颜色 6 8 2" xfId="7596"/>
    <cellStyle name="60% - 强调文字颜色 2 10 2 3 2" xfId="7597"/>
    <cellStyle name="60% - 强调文字颜色 6 8 2 2" xfId="7598"/>
    <cellStyle name="60% - 强调文字颜色 2 10 2 4" xfId="7599"/>
    <cellStyle name="60% - 强调文字颜色 6 8 3" xfId="7600"/>
    <cellStyle name="60% - 强调文字颜色 2 10 2 5" xfId="7601"/>
    <cellStyle name="60% - 强调文字颜色 6 8 4" xfId="7602"/>
    <cellStyle name="60% - 强调文字颜色 2 10 3" xfId="7603"/>
    <cellStyle name="60% - 强调文字颜色 2 10 3 2" xfId="7604"/>
    <cellStyle name="强调文字颜色 4 10 3" xfId="7605"/>
    <cellStyle name="60% - 强调文字颜色 2 10 3 2 2" xfId="7606"/>
    <cellStyle name="强调文字颜色 4 10 3 2" xfId="7607"/>
    <cellStyle name="60% - 强调文字颜色 2 10 3 2 2 2" xfId="7608"/>
    <cellStyle name="强调文字颜色 4 10 3 2 2" xfId="7609"/>
    <cellStyle name="60% - 强调文字颜色 2 10 3 2 3" xfId="7610"/>
    <cellStyle name="强调文字颜色 4 10 3 3" xfId="7611"/>
    <cellStyle name="60% - 强调文字颜色 2 10 3 3" xfId="7612"/>
    <cellStyle name="60% - 强调文字颜色 6 9 2" xfId="7613"/>
    <cellStyle name="强调文字颜色 4 10 4" xfId="7614"/>
    <cellStyle name="60% - 强调文字颜色 2 10 3 3 2" xfId="7615"/>
    <cellStyle name="60% - 强调文字颜色 6 9 2 2" xfId="7616"/>
    <cellStyle name="强调文字颜色 4 10 4 2" xfId="7617"/>
    <cellStyle name="60% - 强调文字颜色 2 10 3 4" xfId="7618"/>
    <cellStyle name="60% - 强调文字颜色 6 9 3" xfId="7619"/>
    <cellStyle name="强调文字颜色 4 10 5" xfId="7620"/>
    <cellStyle name="60% - 强调文字颜色 2 10 4" xfId="7621"/>
    <cellStyle name="60% - 强调文字颜色 2 10 4 2" xfId="7622"/>
    <cellStyle name="强调文字颜色 4 11 3" xfId="7623"/>
    <cellStyle name="60% - 强调文字颜色 2 10 4 2 2" xfId="7624"/>
    <cellStyle name="强调文字颜色 4 11 3 2" xfId="7625"/>
    <cellStyle name="60% - 强调文字颜色 2 10 4 3" xfId="7626"/>
    <cellStyle name="强调文字颜色 4 11 4" xfId="7627"/>
    <cellStyle name="60% - 强调文字颜色 2 10 5" xfId="7628"/>
    <cellStyle name="60% - 强调文字颜色 2 10 5 2" xfId="7629"/>
    <cellStyle name="强调文字颜色 4 12 3" xfId="7630"/>
    <cellStyle name="60% - 强调文字颜色 2 10 6" xfId="7631"/>
    <cellStyle name="60% - 强调文字颜色 2 10 6 2" xfId="7632"/>
    <cellStyle name="强调文字颜色 4 13 3" xfId="7633"/>
    <cellStyle name="60% - 强调文字颜色 2 10 7" xfId="7634"/>
    <cellStyle name="60% - 强调文字颜色 2 10 8" xfId="7635"/>
    <cellStyle name="60% - 强调文字颜色 2 10 9" xfId="7636"/>
    <cellStyle name="60% - 强调文字颜色 2 11" xfId="7637"/>
    <cellStyle name="60% - 强调文字颜色 2 11 10" xfId="7638"/>
    <cellStyle name="60% - 强调文字颜色 2 11 11" xfId="7639"/>
    <cellStyle name="60% - 强调文字颜色 2 11 12" xfId="7640"/>
    <cellStyle name="60% - 强调文字颜色 2 11 2" xfId="7641"/>
    <cellStyle name="60% - 强调文字颜色 2 11 2 2" xfId="7642"/>
    <cellStyle name="60% - 强调文字颜色 2 11 2 2 2" xfId="7643"/>
    <cellStyle name="60% - 强调文字颜色 2 11 2 2 2 2" xfId="7644"/>
    <cellStyle name="强调文字颜色 1 11 2 3" xfId="7645"/>
    <cellStyle name="60% - 强调文字颜色 2 11 2 2 3" xfId="7646"/>
    <cellStyle name="60% - 强调文字颜色 2 11 2 3" xfId="7647"/>
    <cellStyle name="60% - 强调文字颜色 2 11 2 3 2" xfId="7648"/>
    <cellStyle name="60% - 强调文字颜色 2 11 2 4" xfId="7649"/>
    <cellStyle name="60% - 强调文字颜色 2 11 2 5" xfId="7650"/>
    <cellStyle name="60% - 强调文字颜色 2 11 3" xfId="7651"/>
    <cellStyle name="60% - 强调文字颜色 2 11 3 2" xfId="7652"/>
    <cellStyle name="60% - 强调文字颜色 2 11 3 2 2" xfId="7653"/>
    <cellStyle name="60% - 强调文字颜色 2 11 3 2 2 2" xfId="7654"/>
    <cellStyle name="60% - 强调文字颜色 2 11 3 2 3" xfId="7655"/>
    <cellStyle name="60% - 强调文字颜色 2 11 3 3" xfId="7656"/>
    <cellStyle name="60% - 强调文字颜色 2 11 3 3 2" xfId="7657"/>
    <cellStyle name="60% - 强调文字颜色 2 11 3 4" xfId="7658"/>
    <cellStyle name="60% - 强调文字颜色 2 11 4" xfId="7659"/>
    <cellStyle name="60% - 强调文字颜色 2 11 4 2" xfId="7660"/>
    <cellStyle name="60% - 强调文字颜色 2 11 4 2 2" xfId="7661"/>
    <cellStyle name="60% - 强调文字颜色 2 11 4 3" xfId="7662"/>
    <cellStyle name="60% - 强调文字颜色 5 8 2 2 2" xfId="7663"/>
    <cellStyle name="60% - 强调文字颜色 2 11 5" xfId="7664"/>
    <cellStyle name="60% - 强调文字颜色 2 11 5 2" xfId="7665"/>
    <cellStyle name="60% - 强调文字颜色 2 11 6" xfId="7666"/>
    <cellStyle name="60% - 强调文字颜色 2 11 6 2" xfId="7667"/>
    <cellStyle name="60% - 强调文字颜色 2 11 7" xfId="7668"/>
    <cellStyle name="60% - 强调文字颜色 2 11 8" xfId="7669"/>
    <cellStyle name="60% - 强调文字颜色 2 11 9" xfId="7670"/>
    <cellStyle name="60% - 强调文字颜色 2 12" xfId="7671"/>
    <cellStyle name="60% - 强调文字颜色 2 12 10" xfId="7672"/>
    <cellStyle name="60% - 强调文字颜色 2 12 11" xfId="7673"/>
    <cellStyle name="row_def_array" xfId="7674"/>
    <cellStyle name="60% - 强调文字颜色 2 12 12" xfId="7675"/>
    <cellStyle name="60% - 强调文字颜色 2 12 2" xfId="7676"/>
    <cellStyle name="60% - 强调文字颜色 2 12 2 2" xfId="7677"/>
    <cellStyle name="60% - 强调文字颜色 2 12 2 2 2" xfId="7678"/>
    <cellStyle name="60% - 强调文字颜色 2 12 2 2 3" xfId="7679"/>
    <cellStyle name="60% - 强调文字颜色 2 12 2 3" xfId="7680"/>
    <cellStyle name="60% - 强调文字颜色 2 12 2 3 2" xfId="7681"/>
    <cellStyle name="60% - 强调文字颜色 2 12 3" xfId="7682"/>
    <cellStyle name="60% - 强调文字颜色 2 12 3 2" xfId="7683"/>
    <cellStyle name="标题 1 4 2 2 3" xfId="7684"/>
    <cellStyle name="60% - 强调文字颜色 2 12 3 2 2" xfId="7685"/>
    <cellStyle name="60% - 强调文字颜色 2 12 3 2 3" xfId="7686"/>
    <cellStyle name="60% - 强调文字颜色 2 12 3 3" xfId="7687"/>
    <cellStyle name="60% - 强调文字颜色 2 12 3 3 2" xfId="7688"/>
    <cellStyle name="60% - 强调文字颜色 2 12 4" xfId="7689"/>
    <cellStyle name="60% - 强调文字颜色 2 12 4 2" xfId="7690"/>
    <cellStyle name="60% - 强调文字颜色 2 12 4 2 2" xfId="7691"/>
    <cellStyle name="60% - 强调文字颜色 4 3 11" xfId="7692"/>
    <cellStyle name="60% - 强调文字颜色 2 12 4 3" xfId="7693"/>
    <cellStyle name="60% - 强调文字颜色 5 8 3 2 2" xfId="7694"/>
    <cellStyle name="60% - 强调文字颜色 2 12 5" xfId="7695"/>
    <cellStyle name="60% - 强调文字颜色 2 12 5 2" xfId="7696"/>
    <cellStyle name="60% - 强调文字颜色 2 12 6" xfId="7697"/>
    <cellStyle name="60% - 强调文字颜色 2 12 6 2" xfId="7698"/>
    <cellStyle name="60% - 强调文字颜色 2 12 7" xfId="7699"/>
    <cellStyle name="60% - 强调文字颜色 2 12 8" xfId="7700"/>
    <cellStyle name="60% - 强调文字颜色 2 12 9" xfId="7701"/>
    <cellStyle name="60% - 强调文字颜色 2 13" xfId="7702"/>
    <cellStyle name="60% - 强调文字颜色 2 13 10" xfId="7703"/>
    <cellStyle name="60% - 强调文字颜色 2 13 11" xfId="7704"/>
    <cellStyle name="Header2 4 2 6 2" xfId="7705"/>
    <cellStyle name="60% - 强调文字颜色 2 13 12" xfId="7706"/>
    <cellStyle name="60% - 强调文字颜色 2 13 13" xfId="7707"/>
    <cellStyle name="60% - 强调文字颜色 2 13 2" xfId="7708"/>
    <cellStyle name="好 3 2 3" xfId="7709"/>
    <cellStyle name="60% - 强调文字颜色 2 13 2 2" xfId="7710"/>
    <cellStyle name="60% - 强调文字颜色 5 6 12" xfId="7711"/>
    <cellStyle name="好 3 2 3 2" xfId="7712"/>
    <cellStyle name="60% - 强调文字颜色 2 13 2 2 2" xfId="7713"/>
    <cellStyle name="样式 1 3 3" xfId="7714"/>
    <cellStyle name="60% - 强调文字颜色 2 13 2 2 2 2" xfId="7715"/>
    <cellStyle name="60% - 强调文字颜色 2 13 2 2 3" xfId="7716"/>
    <cellStyle name="强调文字颜色 5 6 2" xfId="7717"/>
    <cellStyle name="样式 1 3 4" xfId="7718"/>
    <cellStyle name="60% - 强调文字颜色 2 13 2 3" xfId="7719"/>
    <cellStyle name="60% - 强调文字颜色 2 13 2 3 2" xfId="7720"/>
    <cellStyle name="样式 1 4 3" xfId="7721"/>
    <cellStyle name="60% - 强调文字颜色 2 13 3" xfId="7722"/>
    <cellStyle name="好 3 2 4" xfId="7723"/>
    <cellStyle name="60% - 强调文字颜色 2 13 3 2" xfId="7724"/>
    <cellStyle name="60% - 强调文字颜色 2 13 3 2 2" xfId="7725"/>
    <cellStyle name="60% - 强调文字颜色 2 13 3 2 2 2" xfId="7726"/>
    <cellStyle name="60% - 强调文字颜色 2 13 3 2 3" xfId="7727"/>
    <cellStyle name="强调文字颜色 6 6 2" xfId="7728"/>
    <cellStyle name="60% - 强调文字颜色 2 13 3 3" xfId="7729"/>
    <cellStyle name="60% - 强调文字颜色 2 13 3 3 2" xfId="7730"/>
    <cellStyle name="60% - 强调文字颜色 2 13 4" xfId="7731"/>
    <cellStyle name="好 3 2 5" xfId="7732"/>
    <cellStyle name="60% - 强调文字颜色 2 13 4 2" xfId="7733"/>
    <cellStyle name="60% - 强调文字颜色 2 13 4 2 2" xfId="7734"/>
    <cellStyle name="60% - 强调文字颜色 2 13 4 3" xfId="7735"/>
    <cellStyle name="60% - 强调文字颜色 5 8 4 2 2" xfId="7736"/>
    <cellStyle name="60% - 强调文字颜色 2 13 5" xfId="7737"/>
    <cellStyle name="60% - 强调文字颜色 2 13 5 2" xfId="7738"/>
    <cellStyle name="60% - 强调文字颜色 2 13 6 2" xfId="7739"/>
    <cellStyle name="60% - 强调文字颜色 2 13 7" xfId="7740"/>
    <cellStyle name="60% - 强调文字颜色 2 13 7 2" xfId="7741"/>
    <cellStyle name="60% - 强调文字颜色 5 7 12" xfId="7742"/>
    <cellStyle name="60% - 强调文字颜色 2 13 8" xfId="7743"/>
    <cellStyle name="60% - 强调文字颜色 2 13 9" xfId="7744"/>
    <cellStyle name="60% - 强调文字颜色 2 14" xfId="7745"/>
    <cellStyle name="60% - 强调文字颜色 2 14 2" xfId="7746"/>
    <cellStyle name="好 3 3 3" xfId="7747"/>
    <cellStyle name="60% - 强调文字颜色 2 14 2 2" xfId="7748"/>
    <cellStyle name="注释 13 6" xfId="7749"/>
    <cellStyle name="60% - 强调文字颜色 2 14 2 2 2" xfId="7750"/>
    <cellStyle name="注释 13 6 2" xfId="7751"/>
    <cellStyle name="60% - 强调文字颜色 2 14 2 3" xfId="7752"/>
    <cellStyle name="注释 13 7" xfId="7753"/>
    <cellStyle name="60% - 强调文字颜色 2 14 3" xfId="7754"/>
    <cellStyle name="60% - 强调文字颜色 2 14 3 2" xfId="7755"/>
    <cellStyle name="注释 14 6" xfId="7756"/>
    <cellStyle name="60% - 强调文字颜色 2 14 4" xfId="7757"/>
    <cellStyle name="60% - 强调文字颜色 2 15" xfId="7758"/>
    <cellStyle name="60% - 强调文字颜色 2 15 2" xfId="7759"/>
    <cellStyle name="60% - 强调文字颜色 2 15 2 2" xfId="7760"/>
    <cellStyle name="60% - 强调文字颜色 2 15 3" xfId="7761"/>
    <cellStyle name="60% - 强调文字颜色 2 16" xfId="7762"/>
    <cellStyle name="注释 16 10" xfId="7763"/>
    <cellStyle name="注释 21 10" xfId="7764"/>
    <cellStyle name="60% - 强调文字颜色 2 16 2" xfId="7765"/>
    <cellStyle name="60% - 强调文字颜色 2 2 10" xfId="7766"/>
    <cellStyle name="60% - 强调文字颜色 2 2 11" xfId="7767"/>
    <cellStyle name="60% - 强调文字颜色 2 2 12" xfId="7768"/>
    <cellStyle name="60% - 强调文字颜色 2 2 2" xfId="7769"/>
    <cellStyle name="60% - 强调文字颜色 2 2 2 2" xfId="7770"/>
    <cellStyle name="60% - 强调文字颜色 2 2 2 2 2" xfId="7771"/>
    <cellStyle name="60% - 强调文字颜色 2 2 2 2 2 2" xfId="7772"/>
    <cellStyle name="60% - 强调文字颜色 2 2 2 2 2 2 2" xfId="7773"/>
    <cellStyle name="60% - 强调文字颜色 2 2 2 2 2 3" xfId="7774"/>
    <cellStyle name="60% - 强调文字颜色 2 2 2 2 2 3 2" xfId="7775"/>
    <cellStyle name="千位分隔 3 2 9" xfId="7776"/>
    <cellStyle name="60% - 强调文字颜色 2 2 2 2 2 4" xfId="7777"/>
    <cellStyle name="好 9 3 2" xfId="7778"/>
    <cellStyle name="60% - 强调文字颜色 2 2 2 2 3" xfId="7779"/>
    <cellStyle name="60% - 强调文字颜色 2 2 2 2 3 2" xfId="7780"/>
    <cellStyle name="60% - 强调文字颜色 2 2 2 3" xfId="7781"/>
    <cellStyle name="60% - 强调文字颜色 2 2 2 3 2" xfId="7782"/>
    <cellStyle name="60% - 强调文字颜色 2 2 2 3 2 2" xfId="7783"/>
    <cellStyle name="60% - 强调文字颜色 2 2 2 3 3" xfId="7784"/>
    <cellStyle name="Percent" xfId="7785"/>
    <cellStyle name="60% - 强调文字颜色 2 2 2 4" xfId="7786"/>
    <cellStyle name="60% - 强调文字颜色 2 2 2 4 2" xfId="7787"/>
    <cellStyle name="60% - 强调文字颜色 2 2 2 5" xfId="7788"/>
    <cellStyle name="60% - 强调文字颜色 2 2 3" xfId="7789"/>
    <cellStyle name="60% - 强调文字颜色 2 2 3 2" xfId="7790"/>
    <cellStyle name="60% - 强调文字颜色 3 2 4" xfId="7791"/>
    <cellStyle name="常规 3 2 14" xfId="7792"/>
    <cellStyle name="60% - 强调文字颜色 2 2 3 2 2" xfId="7793"/>
    <cellStyle name="60% - 强调文字颜色 3 2 4 2" xfId="7794"/>
    <cellStyle name="适中 9 8" xfId="7795"/>
    <cellStyle name="60% - 强调文字颜色 2 2 3 2 2 2" xfId="7796"/>
    <cellStyle name="60% - 强调文字颜色 3 2 4 2 2" xfId="7797"/>
    <cellStyle name="60% - 强调文字颜色 2 2 3 2 3" xfId="7798"/>
    <cellStyle name="60% - 强调文字颜色 3 2 4 3" xfId="7799"/>
    <cellStyle name="适中 9 9" xfId="7800"/>
    <cellStyle name="60% - 强调文字颜色 2 2 3 3" xfId="7801"/>
    <cellStyle name="60% - 强调文字颜色 3 2 5" xfId="7802"/>
    <cellStyle name="常规 3 2 15" xfId="7803"/>
    <cellStyle name="60% - 强调文字颜色 2 2 3 3 2" xfId="7804"/>
    <cellStyle name="60% - 强调文字颜色 3 2 5 2" xfId="7805"/>
    <cellStyle name="60% - 强调文字颜色 2 2 3 4" xfId="7806"/>
    <cellStyle name="60% - 强调文字颜色 3 2 6" xfId="7807"/>
    <cellStyle name="60% - 强调文字颜色 2 2 4" xfId="7808"/>
    <cellStyle name="60% - 强调文字颜色 2 2 4 2" xfId="7809"/>
    <cellStyle name="60% - 强调文字颜色 3 3 4" xfId="7810"/>
    <cellStyle name="60% - 强调文字颜色 2 2 4 2 2" xfId="7811"/>
    <cellStyle name="60% - 强调文字颜色 3 3 4 2" xfId="7812"/>
    <cellStyle name="60% - 强调文字颜色 2 2 4 2 2 2" xfId="7813"/>
    <cellStyle name="60% - 强调文字颜色 3 3 4 2 2" xfId="7814"/>
    <cellStyle name="60% - 强调文字颜色 2 2 4 2 3" xfId="7815"/>
    <cellStyle name="60% - 强调文字颜色 3 3 4 3" xfId="7816"/>
    <cellStyle name="60% - 强调文字颜色 2 2 4 3" xfId="7817"/>
    <cellStyle name="60% - 强调文字颜色 3 3 5" xfId="7818"/>
    <cellStyle name="60% - 强调文字颜色 2 2 4 3 2" xfId="7819"/>
    <cellStyle name="60% - 强调文字颜色 3 3 5 2" xfId="7820"/>
    <cellStyle name="60% - 强调文字颜色 2 2 4 4" xfId="7821"/>
    <cellStyle name="60% - 强调文字颜色 3 3 6" xfId="7822"/>
    <cellStyle name="60% - 强调文字颜色 2 2 5" xfId="7823"/>
    <cellStyle name="60% - 强调文字颜色 2 2 5 2" xfId="7824"/>
    <cellStyle name="60% - 强调文字颜色 3 4 4" xfId="7825"/>
    <cellStyle name="60% - 强调文字颜色 2 2 5 3" xfId="7826"/>
    <cellStyle name="60% - 强调文字颜色 3 4 5" xfId="7827"/>
    <cellStyle name="60% - 强调文字颜色 2 2 6" xfId="7828"/>
    <cellStyle name="60% - 强调文字颜色 2 2 6 2" xfId="7829"/>
    <cellStyle name="60% - 强调文字颜色 3 5 4" xfId="7830"/>
    <cellStyle name="60% - 强调文字颜色 2 2 7" xfId="7831"/>
    <cellStyle name="60% - 强调文字颜色 2 2 7 2" xfId="7832"/>
    <cellStyle name="60% - 强调文字颜色 3 6 4" xfId="7833"/>
    <cellStyle name="60% - 强调文字颜色 2 2 8" xfId="7834"/>
    <cellStyle name="60% - 强调文字颜色 2 2 9" xfId="7835"/>
    <cellStyle name="60% - 强调文字颜色 2 3" xfId="7836"/>
    <cellStyle name="60% - 强调文字颜色 2 3 10" xfId="7837"/>
    <cellStyle name="强调文字颜色 1 5 2 2" xfId="7838"/>
    <cellStyle name="60% - 强调文字颜色 2 3 11" xfId="7839"/>
    <cellStyle name="强调文字颜色 1 5 2 3" xfId="7840"/>
    <cellStyle name="60% - 强调文字颜色 2 3 12" xfId="7841"/>
    <cellStyle name="强调文字颜色 1 5 2 4" xfId="7842"/>
    <cellStyle name="60% - 强调文字颜色 2 3 2" xfId="7843"/>
    <cellStyle name="60% - 强调文字颜色 2 3 2 2 2" xfId="7844"/>
    <cellStyle name="60% - 强调文字颜色 2 3 2 2 2 2" xfId="7845"/>
    <cellStyle name="60% - 强调文字颜色 2 3 2 2 3" xfId="7846"/>
    <cellStyle name="60% - 强调文字颜色 2 3 2 3 2" xfId="7847"/>
    <cellStyle name="60% - 强调文字颜色 2 3 2 5" xfId="7848"/>
    <cellStyle name="60% - 强调文字颜色 2 3 3" xfId="7849"/>
    <cellStyle name="60% - 强调文字颜色 2 3 3 2" xfId="7850"/>
    <cellStyle name="60% - 强调文字颜色 4 2 4" xfId="7851"/>
    <cellStyle name="60% - 强调文字颜色 2 3 3 2 2" xfId="7852"/>
    <cellStyle name="60% - 强调文字颜色 4 2 4 2" xfId="7853"/>
    <cellStyle name="60% - 强调文字颜色 2 3 3 2 2 2" xfId="7854"/>
    <cellStyle name="60% - 强调文字颜色 4 2 4 2 2" xfId="7855"/>
    <cellStyle name="60% - 强调文字颜色 2 3 3 2 3" xfId="7856"/>
    <cellStyle name="60% - 强调文字颜色 4 2 4 3" xfId="7857"/>
    <cellStyle name="60% - 强调文字颜色 2 3 3 3" xfId="7858"/>
    <cellStyle name="60% - 强调文字颜色 4 2 5" xfId="7859"/>
    <cellStyle name="60% - 强调文字颜色 2 3 3 3 2" xfId="7860"/>
    <cellStyle name="60% - 强调文字颜色 4 2 5 2" xfId="7861"/>
    <cellStyle name="60% - 强调文字颜色 2 3 3 4" xfId="7862"/>
    <cellStyle name="60% - 强调文字颜色 4 2 6" xfId="7863"/>
    <cellStyle name="60% - 强调文字颜色 2 3 4" xfId="7864"/>
    <cellStyle name="60% - 强调文字颜色 2 3 4 2" xfId="7865"/>
    <cellStyle name="60% - 强调文字颜色 4 3 4" xfId="7866"/>
    <cellStyle name="60% - 强调文字颜色 2 3 4 2 2" xfId="7867"/>
    <cellStyle name="60% - 强调文字颜色 4 3 4 2" xfId="7868"/>
    <cellStyle name="60% - 强调文字颜色 2 3 4 3" xfId="7869"/>
    <cellStyle name="60% - 强调文字颜色 4 3 5" xfId="7870"/>
    <cellStyle name="60% - 强调文字颜色 2 3 5" xfId="7871"/>
    <cellStyle name="60% - 强调文字颜色 2 3 5 2" xfId="7872"/>
    <cellStyle name="60% - 强调文字颜色 4 4 4" xfId="7873"/>
    <cellStyle name="60% - 强调文字颜色 2 3 6" xfId="7874"/>
    <cellStyle name="60% - 强调文字颜色 2 3 6 2" xfId="7875"/>
    <cellStyle name="60% - 强调文字颜色 4 5 4" xfId="7876"/>
    <cellStyle name="60% - 强调文字颜色 2 3 7" xfId="7877"/>
    <cellStyle name="注释 16 2 2" xfId="7878"/>
    <cellStyle name="注释 21 2 2" xfId="7879"/>
    <cellStyle name="60% - 强调文字颜色 2 3 8" xfId="7880"/>
    <cellStyle name="注释 16 2 3" xfId="7881"/>
    <cellStyle name="注释 21 2 3" xfId="7882"/>
    <cellStyle name="60% - 强调文字颜色 2 3 9" xfId="7883"/>
    <cellStyle name="60% - 强调文字颜色 2 4 10" xfId="7884"/>
    <cellStyle name="强调文字颜色 1 5 7 2" xfId="7885"/>
    <cellStyle name="60% - 强调文字颜色 2 4 11" xfId="7886"/>
    <cellStyle name="60% - 强调文字颜色 2 4 12" xfId="7887"/>
    <cellStyle name="强调文字颜色 3 7 3 2 2" xfId="7888"/>
    <cellStyle name="60% - 强调文字颜色 2 4 2" xfId="7889"/>
    <cellStyle name="60% - 强调文字颜色 2 4 2 2" xfId="7890"/>
    <cellStyle name="60% - 强调文字颜色 2 4 2 2 2" xfId="7891"/>
    <cellStyle name="计算 7 3 3" xfId="7892"/>
    <cellStyle name="60% - 强调文字颜色 2 4 2 2 2 2" xfId="7893"/>
    <cellStyle name="60% - 强调文字颜色 2 4 2 2 3" xfId="7894"/>
    <cellStyle name="计算 7 3 4" xfId="7895"/>
    <cellStyle name="60% - 强调文字颜色 2 4 2 3" xfId="7896"/>
    <cellStyle name="60% - 强调文字颜色 2 4 2 3 2" xfId="7897"/>
    <cellStyle name="计算 7 4 3" xfId="7898"/>
    <cellStyle name="60% - 强调文字颜色 2 4 2 4" xfId="7899"/>
    <cellStyle name="60% - 强调文字颜色 2 4 2 5" xfId="7900"/>
    <cellStyle name="60% - 强调文字颜色 2 4 3" xfId="7901"/>
    <cellStyle name="60% - 强调文字颜色 2 4 3 2" xfId="7902"/>
    <cellStyle name="60% - 强调文字颜色 5 2 4" xfId="7903"/>
    <cellStyle name="60% - 强调文字颜色 2 4 3 2 2" xfId="7904"/>
    <cellStyle name="60% - 强调文字颜色 5 2 4 2" xfId="7905"/>
    <cellStyle name="计算 8 3 3" xfId="7906"/>
    <cellStyle name="60% - 强调文字颜色 2 4 3 2 2 2" xfId="7907"/>
    <cellStyle name="60% - 强调文字颜色 5 2 4 2 2" xfId="7908"/>
    <cellStyle name="60% - 强调文字颜色 2 4 3 2 3" xfId="7909"/>
    <cellStyle name="60% - 强调文字颜色 5 2 4 3" xfId="7910"/>
    <cellStyle name="计算 8 3 4" xfId="7911"/>
    <cellStyle name="60% - 强调文字颜色 2 4 3 3" xfId="7912"/>
    <cellStyle name="60% - 强调文字颜色 5 2 5" xfId="7913"/>
    <cellStyle name="60% - 强调文字颜色 2 4 3 3 2" xfId="7914"/>
    <cellStyle name="60% - 强调文字颜色 5 2 5 2" xfId="7915"/>
    <cellStyle name="计算 8 4 3" xfId="7916"/>
    <cellStyle name="60% - 强调文字颜色 2 4 3 4" xfId="7917"/>
    <cellStyle name="60% - 强调文字颜色 5 2 6" xfId="7918"/>
    <cellStyle name="60% - 强调文字颜色 2 4 4" xfId="7919"/>
    <cellStyle name="60% - 强调文字颜色 2 4 4 2" xfId="7920"/>
    <cellStyle name="60% - 强调文字颜色 5 3 4" xfId="7921"/>
    <cellStyle name="Calc Percent (0)" xfId="7922"/>
    <cellStyle name="60% - 强调文字颜色 2 4 4 2 2" xfId="7923"/>
    <cellStyle name="60% - 强调文字颜色 5 3 4 2" xfId="7924"/>
    <cellStyle name="计算 9 3 3" xfId="7925"/>
    <cellStyle name="输出 9 9" xfId="7926"/>
    <cellStyle name="60% - 强调文字颜色 2 4 4 3" xfId="7927"/>
    <cellStyle name="60% - 强调文字颜色 5 3 5" xfId="7928"/>
    <cellStyle name="60% - 强调文字颜色 2 4 5" xfId="7929"/>
    <cellStyle name="60% - 强调文字颜色 2 4 5 2" xfId="7930"/>
    <cellStyle name="60% - 强调文字颜色 5 4 4" xfId="7931"/>
    <cellStyle name="60% - 强调文字颜色 2 4 6" xfId="7932"/>
    <cellStyle name="60% - 强调文字颜色 2 4 6 2" xfId="7933"/>
    <cellStyle name="60% - 强调文字颜色 5 5 4" xfId="7934"/>
    <cellStyle name="60% - 强调文字颜色 2 4 7" xfId="7935"/>
    <cellStyle name="注释 16 3 2" xfId="7936"/>
    <cellStyle name="注释 21 3 2" xfId="7937"/>
    <cellStyle name="60% - 强调文字颜色 2 4 8" xfId="7938"/>
    <cellStyle name="注释 16 3 3" xfId="7939"/>
    <cellStyle name="注释 21 3 3" xfId="7940"/>
    <cellStyle name="60% - 强调文字颜色 2 4 9" xfId="7941"/>
    <cellStyle name="注释 3 3 2 2" xfId="7942"/>
    <cellStyle name="60% - 强调文字颜色 2 5" xfId="7943"/>
    <cellStyle name="60% - 强调文字颜色 2 5 10" xfId="7944"/>
    <cellStyle name="输入 11 3 4" xfId="7945"/>
    <cellStyle name="60% - 强调文字颜色 2 5 11" xfId="7946"/>
    <cellStyle name="输入 11 3 5" xfId="7947"/>
    <cellStyle name="60% - 强调文字颜色 2 5 12" xfId="7948"/>
    <cellStyle name="60% - 强调文字颜色 2 5 2" xfId="7949"/>
    <cellStyle name="60% - 强调文字颜色 2 5 2 2" xfId="7950"/>
    <cellStyle name="콤마_BOILER-CO1" xfId="7951"/>
    <cellStyle name="60% - 强调文字颜色 2 5 2 2 2" xfId="7952"/>
    <cellStyle name="60% - 强调文字颜色 2 5 2 2 2 2" xfId="7953"/>
    <cellStyle name="60% - 强调文字颜色 2 5 2 2 3" xfId="7954"/>
    <cellStyle name="强调文字颜色 1 10 6 2" xfId="7955"/>
    <cellStyle name="60% - 强调文字颜色 2 5 2 3" xfId="7956"/>
    <cellStyle name="60% - 强调文字颜色 2 5 2 3 2" xfId="7957"/>
    <cellStyle name="60% - 强调文字颜色 2 5 2 4" xfId="7958"/>
    <cellStyle name="60% - 强调文字颜色 2 5 2 5" xfId="7959"/>
    <cellStyle name="输出 10 7 2" xfId="7960"/>
    <cellStyle name="60% - 强调文字颜色 2 5 3" xfId="7961"/>
    <cellStyle name="60% - 强调文字颜色 2 5 3 2" xfId="7962"/>
    <cellStyle name="60% - 强调文字颜色 6 2 4" xfId="7963"/>
    <cellStyle name="60% - 强调文字颜色 2 5 3 2 2 2" xfId="7964"/>
    <cellStyle name="60% - 强调文字颜色 6 2 4 2 2" xfId="7965"/>
    <cellStyle name="60% - 强调文字颜色 2 5 3 2 3" xfId="7966"/>
    <cellStyle name="60% - 强调文字颜色 4 3 2 2 2 2" xfId="7967"/>
    <cellStyle name="60% - 强调文字颜色 6 2 4 3" xfId="7968"/>
    <cellStyle name="强调文字颜色 1 11 6 2" xfId="7969"/>
    <cellStyle name="60% - 强调文字颜色 2 5 3 3" xfId="7970"/>
    <cellStyle name="60% - 强调文字颜色 6 2 5" xfId="7971"/>
    <cellStyle name="60% - 强调文字颜色 2 5 3 3 2" xfId="7972"/>
    <cellStyle name="60% - 强调文字颜色 6 2 5 2" xfId="7973"/>
    <cellStyle name="60% - 强调文字颜色 2 5 3 4" xfId="7974"/>
    <cellStyle name="60% - 强调文字颜色 6 2 6" xfId="7975"/>
    <cellStyle name="60% - 强调文字颜色 2 5 4" xfId="7976"/>
    <cellStyle name="60% - 强调文字颜色 2 5 4 2" xfId="7977"/>
    <cellStyle name="60% - 强调文字颜色 6 3 4" xfId="7978"/>
    <cellStyle name="60% - 强调文字颜色 2 5 4 2 2" xfId="7979"/>
    <cellStyle name="60% - 强调文字颜色 6 3 4 2" xfId="7980"/>
    <cellStyle name="60% - 强调文字颜色 2 5 4 3" xfId="7981"/>
    <cellStyle name="60% - 强调文字颜色 6 3 5" xfId="7982"/>
    <cellStyle name="60% - 强调文字颜色 2 5 5" xfId="7983"/>
    <cellStyle name="60% - 强调文字颜色 2 5 5 2" xfId="7984"/>
    <cellStyle name="60% - 强调文字颜色 6 4 4" xfId="7985"/>
    <cellStyle name="60% - 强调文字颜色 2 5 6" xfId="7986"/>
    <cellStyle name="60% - 强调文字颜色 2 5 6 2" xfId="7987"/>
    <cellStyle name="60% - 强调文字颜色 6 5 4" xfId="7988"/>
    <cellStyle name="60% - 强调文字颜色 2 5 7" xfId="7989"/>
    <cellStyle name="注释 16 4 2" xfId="7990"/>
    <cellStyle name="注释 21 4 2" xfId="7991"/>
    <cellStyle name="60% - 强调文字颜色 2 5 8" xfId="7992"/>
    <cellStyle name="强调文字颜色 1 7 3 2 2" xfId="7993"/>
    <cellStyle name="60% - 强调文字颜色 2 5 9" xfId="7994"/>
    <cellStyle name="注释 3 3 3 2" xfId="7995"/>
    <cellStyle name="60% - 强调文字颜色 2 6" xfId="7996"/>
    <cellStyle name="60% - 强调文字颜色 2 6 10" xfId="7997"/>
    <cellStyle name="警告文本 9 3 3" xfId="7998"/>
    <cellStyle name="60% - 强调文字颜色 2 6 11" xfId="7999"/>
    <cellStyle name="60% - 强调文字颜色 2 6 12" xfId="8000"/>
    <cellStyle name="60% - 强调文字颜色 2 6 2" xfId="8001"/>
    <cellStyle name="60% - 强调文字颜色 2 6 2 2 2 2" xfId="8002"/>
    <cellStyle name="60% - 强调文字颜色 2 6 2 2 3" xfId="8003"/>
    <cellStyle name="60% - 强调文字颜色 2 6 2 3" xfId="8004"/>
    <cellStyle name="60% - 强调文字颜色 2 6 2 3 2" xfId="8005"/>
    <cellStyle name="60% - 强调文字颜色 2 6 2 4" xfId="8006"/>
    <cellStyle name="60% - 强调文字颜色 2 6 2 5" xfId="8007"/>
    <cellStyle name="输出 11 7 2" xfId="8008"/>
    <cellStyle name="60% - 强调文字颜色 2 6 3" xfId="8009"/>
    <cellStyle name="60% - 强调文字颜色 2 6 3 2 2" xfId="8010"/>
    <cellStyle name="好 10 6" xfId="8011"/>
    <cellStyle name="60% - 强调文字颜色 2 6 3 2 2 2" xfId="8012"/>
    <cellStyle name="60% - 强调文字颜色 2 6 3 2 3" xfId="8013"/>
    <cellStyle name="60% - 强调文字颜色 4 3 3 2 2 2" xfId="8014"/>
    <cellStyle name="好 10 7" xfId="8015"/>
    <cellStyle name="60% - 强调文字颜色 2 6 3 3" xfId="8016"/>
    <cellStyle name="60% - 强调文字颜色 2 6 3 3 2" xfId="8017"/>
    <cellStyle name="好 11 6" xfId="8018"/>
    <cellStyle name="60% - 强调文字颜色 2 6 3 4" xfId="8019"/>
    <cellStyle name="60% - 强调文字颜色 2 6 4" xfId="8020"/>
    <cellStyle name="60% - 强调文字颜色 2 6 4 2" xfId="8021"/>
    <cellStyle name="60% - 强调文字颜色 2 6 4 2 2" xfId="8022"/>
    <cellStyle name="60% - 强调文字颜色 2 6 4 3" xfId="8023"/>
    <cellStyle name="60% - 强调文字颜色 2 6 5" xfId="8024"/>
    <cellStyle name="60% - 强调文字颜色 2 6 5 2" xfId="8025"/>
    <cellStyle name="60% - 强调文字颜色 2 7" xfId="8026"/>
    <cellStyle name="60% - 强调文字颜色 2 7 10" xfId="8027"/>
    <cellStyle name="强调文字颜色 2 4" xfId="8028"/>
    <cellStyle name="60% - 强调文字颜色 2 7 11" xfId="8029"/>
    <cellStyle name="强调文字颜色 2 5" xfId="8030"/>
    <cellStyle name="60% - 强调文字颜色 2 7 12" xfId="8031"/>
    <cellStyle name="强调文字颜色 2 6" xfId="8032"/>
    <cellStyle name="60% - 强调文字颜色 2 7 2" xfId="8033"/>
    <cellStyle name="60% - 强调文字颜色 2 7 2 2" xfId="8034"/>
    <cellStyle name="60% - 强调文字颜色 2 7 2 2 2" xfId="8035"/>
    <cellStyle name="60% - 强调文字颜色 2 7 2 2 2 2" xfId="8036"/>
    <cellStyle name="60% - 强调文字颜色 2 7 2 2 3" xfId="8037"/>
    <cellStyle name="60% - 强调文字颜色 2 7 2 3" xfId="8038"/>
    <cellStyle name="60% - 强调文字颜色 2 7 2 3 2" xfId="8039"/>
    <cellStyle name="60% - 强调文字颜色 2 7 2 4" xfId="8040"/>
    <cellStyle name="60% - 强调文字颜色 2 7 2 5" xfId="8041"/>
    <cellStyle name="输出 12 7 2" xfId="8042"/>
    <cellStyle name="60% - 强调文字颜色 2 7 3" xfId="8043"/>
    <cellStyle name="60% - 强调文字颜色 2 7 3 2 2" xfId="8044"/>
    <cellStyle name="60% - 强调文字颜色 2 7 3 2 3" xfId="8045"/>
    <cellStyle name="60% - 强调文字颜色 2 7 3 3" xfId="8046"/>
    <cellStyle name="60% - 强调文字颜色 2 7 3 3 2" xfId="8047"/>
    <cellStyle name="60% - 强调文字颜色 2 7 3 4" xfId="8048"/>
    <cellStyle name="60% - 强调文字颜色 2 7 4" xfId="8049"/>
    <cellStyle name="60% - 强调文字颜色 2 7 4 2" xfId="8050"/>
    <cellStyle name="60% - 强调文字颜色 2 7 4 2 2" xfId="8051"/>
    <cellStyle name="60% - 强调文字颜色 2 7 4 3" xfId="8052"/>
    <cellStyle name="60% - 强调文字颜色 2 7 5" xfId="8053"/>
    <cellStyle name="60% - 强调文字颜色 2 7 5 2" xfId="8054"/>
    <cellStyle name="60% - 强调文字颜色 2 7 9" xfId="8055"/>
    <cellStyle name="60% - 强调文字颜色 2 8" xfId="8056"/>
    <cellStyle name="60% - 强调文字颜色 2 8 10" xfId="8057"/>
    <cellStyle name="强调文字颜色 1 6 2 2" xfId="8058"/>
    <cellStyle name="60% - 强调文字颜色 2 8 11" xfId="8059"/>
    <cellStyle name="强调文字颜色 1 6 2 3" xfId="8060"/>
    <cellStyle name="60% - 强调文字颜色 2 8 12" xfId="8061"/>
    <cellStyle name="强调文字颜色 1 6 2 4" xfId="8062"/>
    <cellStyle name="60% - 强调文字颜色 2 8 2" xfId="8063"/>
    <cellStyle name="60% - 强调文字颜色 2 8 2 2" xfId="8064"/>
    <cellStyle name="60% - 强调文字颜色 2 8 2 2 2" xfId="8065"/>
    <cellStyle name="60% - 强调文字颜色 2 8 2 2 2 2" xfId="8066"/>
    <cellStyle name="60% - 强调文字颜色 2 8 2 2 3" xfId="8067"/>
    <cellStyle name="60% - 强调文字颜色 2 8 2 3" xfId="8068"/>
    <cellStyle name="60% - 强调文字颜色 2 8 2 3 2" xfId="8069"/>
    <cellStyle name="60% - 强调文字颜色 2 8 3" xfId="8070"/>
    <cellStyle name="60% - 强调文字颜色 2 8 3 2" xfId="8071"/>
    <cellStyle name="60% - 强调文字颜色 2 8 3 2 2" xfId="8072"/>
    <cellStyle name="60% - 强调文字颜色 2 8 3 2 3" xfId="8073"/>
    <cellStyle name="60% - 强调文字颜色 2 8 3 3" xfId="8074"/>
    <cellStyle name="60% - 强调文字颜色 2 8 3 3 2" xfId="8075"/>
    <cellStyle name="60% - 强调文字颜色 2 8 4" xfId="8076"/>
    <cellStyle name="60% - 强调文字颜色 2 8 4 2" xfId="8077"/>
    <cellStyle name="60% - 强调文字颜色 2 8 4 2 2" xfId="8078"/>
    <cellStyle name="60% - 强调文字颜色 2 8 4 3" xfId="8079"/>
    <cellStyle name="60% - 强调文字颜色 2 8 5" xfId="8080"/>
    <cellStyle name="60% - 强调文字颜色 2 8 5 2" xfId="8081"/>
    <cellStyle name="60% - 强调文字颜色 2 8 8" xfId="8082"/>
    <cellStyle name="60% - 强调文字颜色 2 8 9" xfId="8083"/>
    <cellStyle name="60% - 强调文字颜色 2 9" xfId="8084"/>
    <cellStyle name="60% - 强调文字颜色 2 9 10" xfId="8085"/>
    <cellStyle name="强调文字颜色 1 6 7 2" xfId="8086"/>
    <cellStyle name="输出 5 2 2 3" xfId="8087"/>
    <cellStyle name="60% - 强调文字颜色 2 9 11" xfId="8088"/>
    <cellStyle name="60% - 强调文字颜色 2 9 12" xfId="8089"/>
    <cellStyle name="60% - 强调文字颜色 2 9 2" xfId="8090"/>
    <cellStyle name="60% - 强调文字颜色 2 9 2 2" xfId="8091"/>
    <cellStyle name="60% - 强调文字颜色 2 9 2 2 2" xfId="8092"/>
    <cellStyle name="60% - 强调文字颜色 2 9 2 2 2 2" xfId="8093"/>
    <cellStyle name="好 13 7" xfId="8094"/>
    <cellStyle name="60% - 强调文字颜色 2 9 2 2 3" xfId="8095"/>
    <cellStyle name="60% - 强调文字颜色 2 9 2 3" xfId="8096"/>
    <cellStyle name="60% - 强调文字颜色 2 9 2 3 2" xfId="8097"/>
    <cellStyle name="60% - 强调文字颜色 2 9 3" xfId="8098"/>
    <cellStyle name="60% - 强调文字颜色 2 9 3 2" xfId="8099"/>
    <cellStyle name="60% - 强调文字颜色 2 9 3 2 2" xfId="8100"/>
    <cellStyle name="60% - 强调文字颜色 2 9 3 2 2 2" xfId="8101"/>
    <cellStyle name="60% - 强调文字颜色 2 9 3 2 3" xfId="8102"/>
    <cellStyle name="60% - 强调文字颜色 2 9 3 3" xfId="8103"/>
    <cellStyle name="注释 3 10" xfId="8104"/>
    <cellStyle name="60% - 强调文字颜色 2 9 3 3 2" xfId="8105"/>
    <cellStyle name="60% - 强调文字颜色 2 9 4" xfId="8106"/>
    <cellStyle name="60% - 强调文字颜色 2 9 4 2" xfId="8107"/>
    <cellStyle name="60% - 强调文字颜色 2 9 4 2 2" xfId="8108"/>
    <cellStyle name="60% - 强调文字颜色 2 9 4 3" xfId="8109"/>
    <cellStyle name="60% - 强调文字颜色 2 9 5" xfId="8110"/>
    <cellStyle name="60% - 强调文字颜色 2 9 5 2" xfId="8111"/>
    <cellStyle name="60% - 强调文字颜色 2 9 6 2" xfId="8112"/>
    <cellStyle name="注释 10 9" xfId="8113"/>
    <cellStyle name="60% - 强调文字颜色 2 9 7" xfId="8114"/>
    <cellStyle name="60% - 强调文字颜色 2 9 8" xfId="8115"/>
    <cellStyle name="60% - 强调文字颜色 3 10" xfId="8116"/>
    <cellStyle name="差 8 3 2 2" xfId="8117"/>
    <cellStyle name="注释 5 2 4" xfId="8118"/>
    <cellStyle name="60% - 强调文字颜色 3 10 10" xfId="8119"/>
    <cellStyle name="60% - 强调文字颜色 5 6 3 3" xfId="8120"/>
    <cellStyle name="60% - 强调文字颜色 3 10 11" xfId="8121"/>
    <cellStyle name="60% - 强调文字颜色 5 6 3 4" xfId="8122"/>
    <cellStyle name="60% - 强调文字颜色 3 10 12" xfId="8123"/>
    <cellStyle name="60% - 强调文字颜色 3 10 2" xfId="8124"/>
    <cellStyle name="60% - 强调文字颜色 3 10 2 2" xfId="8125"/>
    <cellStyle name="60% - 强调文字颜色 3 10 2 2 2" xfId="8126"/>
    <cellStyle name="60% - 强调文字颜色 3 10 2 2 2 2" xfId="8127"/>
    <cellStyle name="60% - 强调文字颜色 3 10 2 2 3" xfId="8128"/>
    <cellStyle name="60% - 强调文字颜色 3 10 2 3" xfId="8129"/>
    <cellStyle name="常规 4 5 3 2" xfId="8130"/>
    <cellStyle name="输出 4 6 5 2" xfId="8131"/>
    <cellStyle name="60% - 强调文字颜色 3 10 2 3 2" xfId="8132"/>
    <cellStyle name="60% - 强调文字颜色 3 10 2 4" xfId="8133"/>
    <cellStyle name="60% - 强调文字颜色 3 10 2 5" xfId="8134"/>
    <cellStyle name="60% - 强调文字颜色 3 10 3" xfId="8135"/>
    <cellStyle name="60% - 强调文字颜色 3 10 3 2" xfId="8136"/>
    <cellStyle name="60% - 强调文字颜色 3 10 3 2 2" xfId="8137"/>
    <cellStyle name="60% - 强调文字颜色 3 10 3 2 2 2" xfId="8138"/>
    <cellStyle name="60% - 强调文字颜色 3 10 3 2 3" xfId="8139"/>
    <cellStyle name="60% - 强调文字颜色 3 10 4" xfId="8140"/>
    <cellStyle name="强调文字颜色 4 11 2 2 2" xfId="8141"/>
    <cellStyle name="60% - 强调文字颜色 3 10 4 2" xfId="8142"/>
    <cellStyle name="60% - 强调文字颜色 3 10 4 2 2" xfId="8143"/>
    <cellStyle name="60% - 强调文字颜色 3 10 5" xfId="8144"/>
    <cellStyle name="60% - 强调文字颜色 3 10 5 2" xfId="8145"/>
    <cellStyle name="60% - 强调文字颜色 3 10 6" xfId="8146"/>
    <cellStyle name="60% - 强调文字颜色 3 10 6 2" xfId="8147"/>
    <cellStyle name="60% - 强调文字颜色 3 10 8" xfId="8148"/>
    <cellStyle name="60% - 强调文字颜色 3 10 9" xfId="8149"/>
    <cellStyle name="60% - 强调文字颜色 3 11" xfId="8150"/>
    <cellStyle name="注释 5 2 5" xfId="8151"/>
    <cellStyle name="60% - 强调文字颜色 3 11 10" xfId="8152"/>
    <cellStyle name="60% - 强调文字颜色 3 11 11" xfId="8153"/>
    <cellStyle name="60% - 强调文字颜色 3 11 12" xfId="8154"/>
    <cellStyle name="60% - 强调文字颜色 3 11 2" xfId="8155"/>
    <cellStyle name="60% - 强调文字颜色 3 11 2 2" xfId="8156"/>
    <cellStyle name="60% - 强调文字颜色 3 11 2 2 2" xfId="8157"/>
    <cellStyle name="60% - 强调文字颜色 3 11 2 2 2 2" xfId="8158"/>
    <cellStyle name="标题 3 2 3 3" xfId="8159"/>
    <cellStyle name="60% - 强调文字颜色 3 11 2 2 3" xfId="8160"/>
    <cellStyle name="60% - 强调文字颜色 3 11 2 3 2" xfId="8161"/>
    <cellStyle name="60% - 强调文字颜色 3 11 3" xfId="8162"/>
    <cellStyle name="60% - 强调文字颜色 3 11 3 2" xfId="8163"/>
    <cellStyle name="60% - 强调文字颜色 3 11 3 2 2" xfId="8164"/>
    <cellStyle name="60% - 强调文字颜色 3 11 3 2 2 2" xfId="8165"/>
    <cellStyle name="标题 4 2 3 3" xfId="8166"/>
    <cellStyle name="60% - 强调文字颜色 3 11 3 2 3" xfId="8167"/>
    <cellStyle name="60% - 强调文字颜色 3 11 3 4" xfId="8168"/>
    <cellStyle name="60% - 强调文字颜色 3 11 4" xfId="8169"/>
    <cellStyle name="60% - 强调文字颜色 3 11 4 2" xfId="8170"/>
    <cellStyle name="60% - 强调文字颜色 3 11 4 2 2" xfId="8171"/>
    <cellStyle name="60% - 强调文字颜色 3 11 4 3" xfId="8172"/>
    <cellStyle name="60% - 强调文字颜色 3 11 5" xfId="8173"/>
    <cellStyle name="60% - 强调文字颜色 3 11 5 2" xfId="8174"/>
    <cellStyle name="60% - 强调文字颜色 3 11 6" xfId="8175"/>
    <cellStyle name="60% - 强调文字颜色 3 11 6 2" xfId="8176"/>
    <cellStyle name="60% - 强调文字颜色 3 11 7" xfId="8177"/>
    <cellStyle name="60% - 强调文字颜色 3 11 8" xfId="8178"/>
    <cellStyle name="60% - 强调文字颜色 3 11 9" xfId="8179"/>
    <cellStyle name="60% - 强调文字颜色 3 12" xfId="8180"/>
    <cellStyle name="注释 5 2 6" xfId="8181"/>
    <cellStyle name="60% - 强调文字颜色 3 12 10" xfId="8182"/>
    <cellStyle name="60% - 强调文字颜色 3 12 11" xfId="8183"/>
    <cellStyle name="60% - 强调文字颜色 3 12 12" xfId="8184"/>
    <cellStyle name="60% - 强调文字颜色 3 12 2" xfId="8185"/>
    <cellStyle name="60% - 强调文字颜色 3 12 2 2" xfId="8186"/>
    <cellStyle name="60% - 强调文字颜色 3 12 2 2 2" xfId="8187"/>
    <cellStyle name="60% - 强调文字颜色 3 12 2 2 2 2" xfId="8188"/>
    <cellStyle name="60% - 强调文字颜色 3 12 2 2 3" xfId="8189"/>
    <cellStyle name="60% - 强调文字颜色 3 12 2 3" xfId="8190"/>
    <cellStyle name="60% - 强调文字颜色 3 12 2 3 2" xfId="8191"/>
    <cellStyle name="60% - 强调文字颜色 3 12 3" xfId="8192"/>
    <cellStyle name="60% - 强调文字颜色 3 12 3 2" xfId="8193"/>
    <cellStyle name="标题 1 9 2 2 3" xfId="8194"/>
    <cellStyle name="计算 3 14" xfId="8195"/>
    <cellStyle name="60% - 强调文字颜色 3 12 3 2 2" xfId="8196"/>
    <cellStyle name="60% - 强调文字颜色 3 12 3 2 2 2" xfId="8197"/>
    <cellStyle name="60% - 强调文字颜色 3 12 3 2 3" xfId="8198"/>
    <cellStyle name="60% - 强调文字颜色 3 12 3 3" xfId="8199"/>
    <cellStyle name="计算 3 15" xfId="8200"/>
    <cellStyle name="60% - 强调文字颜色 3 12 3 3 2" xfId="8201"/>
    <cellStyle name="常规 2 2 7" xfId="8202"/>
    <cellStyle name="60% - 强调文字颜色 3 12 4" xfId="8203"/>
    <cellStyle name="好_账龄02 3 2 2" xfId="8204"/>
    <cellStyle name="60% - 强调文字颜色 3 12 4 2" xfId="8205"/>
    <cellStyle name="60% - 强调文字颜色 3 12 4 2 2" xfId="8206"/>
    <cellStyle name="60% - 强调文字颜色 3 12 4 3" xfId="8207"/>
    <cellStyle name="60% - 强调文字颜色 3 12 5" xfId="8208"/>
    <cellStyle name="60% - 强调文字颜色 3 12 5 2" xfId="8209"/>
    <cellStyle name="60% - 强调文字颜色 3 12 6" xfId="8210"/>
    <cellStyle name="60% - 强调文字颜色 3 12 6 2" xfId="8211"/>
    <cellStyle name="60% - 强调文字颜色 3 12 7" xfId="8212"/>
    <cellStyle name="60% - 强调文字颜色 3 12 8" xfId="8213"/>
    <cellStyle name="60% - 强调文字颜色 3 12 9" xfId="8214"/>
    <cellStyle name="烹拳 [0]_1202" xfId="8215"/>
    <cellStyle name="输出 5 6 2 2" xfId="8216"/>
    <cellStyle name="60% - 强调文字颜色 3 13" xfId="8217"/>
    <cellStyle name="60% - 强调文字颜色 3 13 10" xfId="8218"/>
    <cellStyle name="60% - 强调文字颜色 3 13 11" xfId="8219"/>
    <cellStyle name="60% - 强调文字颜色 3 13 12" xfId="8220"/>
    <cellStyle name="60% - 强调文字颜色 3 13 13" xfId="8221"/>
    <cellStyle name="60% - 强调文字颜色 3 13 2" xfId="8222"/>
    <cellStyle name="好 8 2 3" xfId="8223"/>
    <cellStyle name="60% - 强调文字颜色 3 13 2 2" xfId="8224"/>
    <cellStyle name="好 8 2 3 2" xfId="8225"/>
    <cellStyle name="60% - 强调文字颜色 3 13 2 2 2" xfId="8226"/>
    <cellStyle name="60% - 强调文字颜色 3 13 2 2 2 2" xfId="8227"/>
    <cellStyle name="60% - 强调文字颜色 3 13 2 2 3" xfId="8228"/>
    <cellStyle name="60% - 强调文字颜色 3 13 2 3" xfId="8229"/>
    <cellStyle name="60% - 强调文字颜色 3 13 2 3 2" xfId="8230"/>
    <cellStyle name="60% - 强调文字颜色 3 13 3" xfId="8231"/>
    <cellStyle name="好 8 2 4" xfId="8232"/>
    <cellStyle name="60% - 强调文字颜色 3 13 3 2" xfId="8233"/>
    <cellStyle name="计算 8 14" xfId="8234"/>
    <cellStyle name="60% - 强调文字颜色 3 13 3 2 2" xfId="8235"/>
    <cellStyle name="60% - 强调文字颜色 3 13 3 2 2 2" xfId="8236"/>
    <cellStyle name="60% - 强调文字颜色 3 13 3 2 3" xfId="8237"/>
    <cellStyle name="60% - 强调文字颜色 3 13 3 3" xfId="8238"/>
    <cellStyle name="计算 8 15" xfId="8239"/>
    <cellStyle name="60% - 强调文字颜色 3 13 3 3 2" xfId="8240"/>
    <cellStyle name="60% - 强调文字颜色 3 13 4" xfId="8241"/>
    <cellStyle name="好 8 2 5" xfId="8242"/>
    <cellStyle name="60% - 强调文字颜色 3 13 4 2" xfId="8243"/>
    <cellStyle name="60% - 强调文字颜色 3 13 4 2 2" xfId="8244"/>
    <cellStyle name="60% - 强调文字颜色 3 13 4 3" xfId="8245"/>
    <cellStyle name="60% - 强调文字颜色 3 13 5" xfId="8246"/>
    <cellStyle name="60% - 强调文字颜色 3 13 5 2" xfId="8247"/>
    <cellStyle name="60% - 强调文字颜色 3 13 6" xfId="8248"/>
    <cellStyle name="60% - 强调文字颜色 3 13 6 2" xfId="8249"/>
    <cellStyle name="60% - 强调文字颜色 3 13 7" xfId="8250"/>
    <cellStyle name="60% - 强调文字颜色 3 13 7 2" xfId="8251"/>
    <cellStyle name="60% - 强调文字颜色 3 13 8" xfId="8252"/>
    <cellStyle name="60% - 强调文字颜色 3 13 9" xfId="8253"/>
    <cellStyle name="输出 5 6 3 2" xfId="8254"/>
    <cellStyle name="60% - 强调文字颜色 3 14 2 2 2" xfId="8255"/>
    <cellStyle name="60% - 强调文字颜色 3 14 2 3" xfId="8256"/>
    <cellStyle name="60% - 强调文字颜色 3 14 3 2" xfId="8257"/>
    <cellStyle name="60% - 强调文字颜色 3 15 2 2" xfId="8258"/>
    <cellStyle name="60% - 强调文字颜色 3 15 3" xfId="8259"/>
    <cellStyle name="60% - 强调文字颜色 3 16 2" xfId="8260"/>
    <cellStyle name="60% - 强调文字颜色 3 2 10" xfId="8261"/>
    <cellStyle name="60% - 强调文字颜色 3 2 11" xfId="8262"/>
    <cellStyle name="60% - 强调文字颜色 3 2 12" xfId="8263"/>
    <cellStyle name="60% - 强调文字颜色 3 2 2" xfId="8264"/>
    <cellStyle name="常规 3 2 12" xfId="8265"/>
    <cellStyle name="60% - 强调文字颜色 3 2 2 2" xfId="8266"/>
    <cellStyle name="适中 7 8" xfId="8267"/>
    <cellStyle name="60% - 强调文字颜色 3 2 2 2 2" xfId="8268"/>
    <cellStyle name="60% - 强调文字颜色 3 2 2 2 2 2" xfId="8269"/>
    <cellStyle name="60% - 强调文字颜色 3 2 2 2 2 3" xfId="8270"/>
    <cellStyle name="60% - 强调文字颜色 3 2 2 2 2 4" xfId="8271"/>
    <cellStyle name="60% - 强调文字颜色 3 2 2 2 3" xfId="8272"/>
    <cellStyle name="60% - 强调文字颜色 3 2 2 2 3 2" xfId="8273"/>
    <cellStyle name="60% - 强调文字颜色 3 2 2 3" xfId="8274"/>
    <cellStyle name="适中 7 9" xfId="8275"/>
    <cellStyle name="60% - 强调文字颜色 3 2 2 3 2" xfId="8276"/>
    <cellStyle name="60% - 强调文字颜色 3 2 2 3 2 2" xfId="8277"/>
    <cellStyle name="检查单元格 5 10" xfId="8278"/>
    <cellStyle name="60% - 强调文字颜色 3 2 2 3 3" xfId="8279"/>
    <cellStyle name="60% - 强调文字颜色 3 2 2 4" xfId="8280"/>
    <cellStyle name="60% - 强调文字颜色 3 2 2 4 2" xfId="8281"/>
    <cellStyle name="60% - 强调文字颜色 3 2 2 5" xfId="8282"/>
    <cellStyle name="60% - 强调文字颜色 3 2 3" xfId="8283"/>
    <cellStyle name="常规 3 2 13" xfId="8284"/>
    <cellStyle name="60% - 强调文字颜色 3 2 3 2" xfId="8285"/>
    <cellStyle name="适中 8 8" xfId="8286"/>
    <cellStyle name="60% - 强调文字颜色 3 2 3 2 2" xfId="8287"/>
    <cellStyle name="60% - 强调文字颜色 3 2 3 2 2 2" xfId="8288"/>
    <cellStyle name="60% - 强调文字颜色 3 2 3 2 3" xfId="8289"/>
    <cellStyle name="60% - 强调文字颜色 3 2 3 3" xfId="8290"/>
    <cellStyle name="适中 8 9" xfId="8291"/>
    <cellStyle name="60% - 强调文字颜色 3 2 3 3 2" xfId="8292"/>
    <cellStyle name="60% - 强调文字颜色 3 2 3 4" xfId="8293"/>
    <cellStyle name="60% - 强调文字颜色 3 2 4 2 2 2" xfId="8294"/>
    <cellStyle name="60% - 强调文字颜色 3 2 4 2 3" xfId="8295"/>
    <cellStyle name="60% - 强调文字颜色 3 2 4 3 2" xfId="8296"/>
    <cellStyle name="60% - 强调文字颜色 3 2 4 4" xfId="8297"/>
    <cellStyle name="60% - 强调文字颜色 3 2 5 2 2" xfId="8298"/>
    <cellStyle name="常规 2 2 5 6" xfId="8299"/>
    <cellStyle name="60% - 强调文字颜色 3 2 5 3" xfId="8300"/>
    <cellStyle name="60% - 强调文字颜色 3 2 6 2" xfId="8301"/>
    <cellStyle name="60% - 强调文字颜色 3 2 7" xfId="8302"/>
    <cellStyle name="60% - 强调文字颜色 3 2 7 2" xfId="8303"/>
    <cellStyle name="60% - 强调文字颜色 3 2 8" xfId="8304"/>
    <cellStyle name="60% - 强调文字颜色 3 2 9" xfId="8305"/>
    <cellStyle name="60% - 强调文字颜色 3 3" xfId="8306"/>
    <cellStyle name="60% - 强调文字颜色 3 3 10" xfId="8307"/>
    <cellStyle name="60% - 强调文字颜色 3 3 11" xfId="8308"/>
    <cellStyle name="60% - 强调文字颜色 3 3 12" xfId="8309"/>
    <cellStyle name="60% - 强调文字颜色 3 3 2" xfId="8310"/>
    <cellStyle name="60% - 强调文字颜色 3 3 2 2 2" xfId="8311"/>
    <cellStyle name="60% - 强调文字颜色 3 3 2 2 2 2" xfId="8312"/>
    <cellStyle name="常规 2 5" xfId="8313"/>
    <cellStyle name="强调文字颜色 2 7 10" xfId="8314"/>
    <cellStyle name="60% - 强调文字颜色 3 3 2 2 3" xfId="8315"/>
    <cellStyle name="60% - 强调文字颜色 3 3 2 3 2" xfId="8316"/>
    <cellStyle name="60% - 强调文字颜色 3 3 2 5" xfId="8317"/>
    <cellStyle name="60% - 强调文字颜色 3 3 3" xfId="8318"/>
    <cellStyle name="60% - 强调文字颜色 3 3 3 2" xfId="8319"/>
    <cellStyle name="60% - 强调文字颜色 3 3 3 3" xfId="8320"/>
    <cellStyle name="60% - 强调文字颜色 3 3 3 3 2" xfId="8321"/>
    <cellStyle name="60% - 强调文字颜色 3 3 3 4" xfId="8322"/>
    <cellStyle name="60% - 强调文字颜色 3 3 6 2" xfId="8323"/>
    <cellStyle name="60% - 强调文字颜色 3 3 7" xfId="8324"/>
    <cellStyle name="注释 17 2 2" xfId="8325"/>
    <cellStyle name="注释 22 2 2" xfId="8326"/>
    <cellStyle name="60% - 强调文字颜色 3 3 8" xfId="8327"/>
    <cellStyle name="注释 17 2 3" xfId="8328"/>
    <cellStyle name="注释 22 2 3" xfId="8329"/>
    <cellStyle name="60% - 强调文字颜色 3 3 9" xfId="8330"/>
    <cellStyle name="60% - 强调文字颜色 3 4" xfId="8331"/>
    <cellStyle name="60% - 强调文字颜色 3 4 10" xfId="8332"/>
    <cellStyle name="60% - 强调文字颜色 3 4 11" xfId="8333"/>
    <cellStyle name="60% - 强调文字颜色 3 4 12" xfId="8334"/>
    <cellStyle name="60% - 强调文字颜色 3 4 2" xfId="8335"/>
    <cellStyle name="60% - 强调文字颜色 3 4 2 2" xfId="8336"/>
    <cellStyle name="60% - 强调文字颜色 3 4 2 2 2" xfId="8337"/>
    <cellStyle name="60% - 强调文字颜色 3 4 2 2 2 2" xfId="8338"/>
    <cellStyle name="60% - 强调文字颜色 3 4 2 2 3" xfId="8339"/>
    <cellStyle name="60% - 强调文字颜色 3 4 2 3" xfId="8340"/>
    <cellStyle name="60% - 强调文字颜色 3 4 2 3 2" xfId="8341"/>
    <cellStyle name="60% - 强调文字颜色 3 4 2 4" xfId="8342"/>
    <cellStyle name="60% - 强调文字颜色 3 4 2 5" xfId="8343"/>
    <cellStyle name="60% - 强调文字颜色 3 4 3" xfId="8344"/>
    <cellStyle name="60% - 强调文字颜色 3 4 3 2" xfId="8345"/>
    <cellStyle name="60% - 强调文字颜色 3 4 3 2 2" xfId="8346"/>
    <cellStyle name="60% - 强调文字颜色 3 4 3 2 2 2" xfId="8347"/>
    <cellStyle name="60% - 强调文字颜色 3 4 3 2 3" xfId="8348"/>
    <cellStyle name="60% - 强调文字颜色 3 4 3 3" xfId="8349"/>
    <cellStyle name="60% - 强调文字颜色 3 4 3 3 2" xfId="8350"/>
    <cellStyle name="60% - 强调文字颜色 3 4 3 4" xfId="8351"/>
    <cellStyle name="60% - 强调文字颜色 3 4 6" xfId="8352"/>
    <cellStyle name="60% - 强调文字颜色 3 4 7" xfId="8353"/>
    <cellStyle name="输出 3 10 2" xfId="8354"/>
    <cellStyle name="注释 17 3 2" xfId="8355"/>
    <cellStyle name="注释 22 3 2" xfId="8356"/>
    <cellStyle name="60% - 强调文字颜色 3 4 8" xfId="8357"/>
    <cellStyle name="注释 17 3 3" xfId="8358"/>
    <cellStyle name="注释 22 3 3" xfId="8359"/>
    <cellStyle name="60% - 强调文字颜色 3 4 9" xfId="8360"/>
    <cellStyle name="注释 3 4 2 2" xfId="8361"/>
    <cellStyle name="60% - 强调文字颜色 3 5" xfId="8362"/>
    <cellStyle name="60% - 强调文字颜色 3 5 10" xfId="8363"/>
    <cellStyle name="60% - 强调文字颜色 3 5 11" xfId="8364"/>
    <cellStyle name="60% - 强调文字颜色 3 5 2" xfId="8365"/>
    <cellStyle name="60% - 强调文字颜色 3 5 2 2" xfId="8366"/>
    <cellStyle name="60% - 强调文字颜色 3 5 2 2 2" xfId="8367"/>
    <cellStyle name="60% - 强调文字颜色 3 5 2 2 2 2" xfId="8368"/>
    <cellStyle name="60% - 强调文字颜色 3 5 2 2 3" xfId="8369"/>
    <cellStyle name="强调文字颜色 6 10 6 2" xfId="8370"/>
    <cellStyle name="60% - 强调文字颜色 3 5 2 3" xfId="8371"/>
    <cellStyle name="60% - 强调文字颜色 3 5 2 3 2" xfId="8372"/>
    <cellStyle name="60% - 强调文字颜色 3 5 2 4" xfId="8373"/>
    <cellStyle name="60% - 强调文字颜色 3 5 2 5" xfId="8374"/>
    <cellStyle name="60% - 强调文字颜色 3 5 3" xfId="8375"/>
    <cellStyle name="60% - 强调文字颜色 3 5 3 2" xfId="8376"/>
    <cellStyle name="60% - 强调文字颜色 3 5 3 2 2" xfId="8377"/>
    <cellStyle name="60% - 强调文字颜色 3 5 3 2 2 2" xfId="8378"/>
    <cellStyle name="60% - 强调文字颜色 3 5 3 2 3" xfId="8379"/>
    <cellStyle name="60% - 强调文字颜色 4 4 2 2 2 2" xfId="8380"/>
    <cellStyle name="强调文字颜色 6 11 6 2" xfId="8381"/>
    <cellStyle name="60% - 强调文字颜色 3 5 3 3" xfId="8382"/>
    <cellStyle name="60% - 强调文字颜色 3 5 3 3 2" xfId="8383"/>
    <cellStyle name="60% - 强调文字颜色 3 5 3 4" xfId="8384"/>
    <cellStyle name="60% - 强调文字颜色 3 5 4 2" xfId="8385"/>
    <cellStyle name="60% - 强调文字颜色 3 5 4 2 2" xfId="8386"/>
    <cellStyle name="60% - 强调文字颜色 3 5 4 3" xfId="8387"/>
    <cellStyle name="60% - 强调文字颜色 3 5 5" xfId="8388"/>
    <cellStyle name="60% - 强调文字颜色 3 5 5 2" xfId="8389"/>
    <cellStyle name="60% - 强调文字颜色 3 5 6" xfId="8390"/>
    <cellStyle name="60% - 强调文字颜色 3 5 6 2" xfId="8391"/>
    <cellStyle name="60% - 强调文字颜色 3 5 7" xfId="8392"/>
    <cellStyle name="输出 3 11 2" xfId="8393"/>
    <cellStyle name="注释 17 4 2" xfId="8394"/>
    <cellStyle name="注释 22 4 2" xfId="8395"/>
    <cellStyle name="60% - 强调文字颜色 3 5 8" xfId="8396"/>
    <cellStyle name="60% - 强调文字颜色 3 5 9" xfId="8397"/>
    <cellStyle name="60% - 强调文字颜色 3 6" xfId="8398"/>
    <cellStyle name="60% - 强调文字颜色 3 6 10" xfId="8399"/>
    <cellStyle name="60% - 强调文字颜色 3 6 11" xfId="8400"/>
    <cellStyle name="60% - 强调文字颜色 3 6 12" xfId="8401"/>
    <cellStyle name="60% - 强调文字颜色 3 6 2" xfId="8402"/>
    <cellStyle name="60% - 强调文字颜色 3 6 2 2" xfId="8403"/>
    <cellStyle name="60% - 强调文字颜色 3 6 2 2 2" xfId="8404"/>
    <cellStyle name="60% - 强调文字颜色 3 6 2 2 2 2" xfId="8405"/>
    <cellStyle name="60% - 强调文字颜色 3 6 2 2 3" xfId="8406"/>
    <cellStyle name="60% - 强调文字颜色 3 6 2 3" xfId="8407"/>
    <cellStyle name="60% - 强调文字颜色 3 6 2 3 2" xfId="8408"/>
    <cellStyle name="60% - 强调文字颜色 3 6 2 4" xfId="8409"/>
    <cellStyle name="60% - 强调文字颜色 3 6 2 5" xfId="8410"/>
    <cellStyle name="60% - 强调文字颜色 3 6 3" xfId="8411"/>
    <cellStyle name="60% - 强调文字颜色 3 6 3 2 2" xfId="8412"/>
    <cellStyle name="超级链接_B4-1审计项目工时预算与控制表(集团)" xfId="8413"/>
    <cellStyle name="60% - 强调文字颜色 3 6 3 2 2 2" xfId="8414"/>
    <cellStyle name="60% - 强调文字颜色 3 6 3 2 3" xfId="8415"/>
    <cellStyle name="60% - 强调文字颜色 4 4 3 2 2 2" xfId="8416"/>
    <cellStyle name="60% - 强调文字颜色 3 6 3 3 2" xfId="8417"/>
    <cellStyle name="60% - 强调文字颜色 3 6 4 2" xfId="8418"/>
    <cellStyle name="60% - 强调文字颜色 3 6 4 2 2" xfId="8419"/>
    <cellStyle name="60% - 强调文字颜色 3 6 4 3" xfId="8420"/>
    <cellStyle name="60% - 强调文字颜色 3 6 5" xfId="8421"/>
    <cellStyle name="60% - 强调文字颜色 3 6 5 2" xfId="8422"/>
    <cellStyle name="60% - 强调文字颜色 3 7" xfId="8423"/>
    <cellStyle name="60% - 强调文字颜色 3 7 10" xfId="8424"/>
    <cellStyle name="解释性文本 11 3" xfId="8425"/>
    <cellStyle name="60% - 强调文字颜色 3 7 12" xfId="8426"/>
    <cellStyle name="解释性文本 11 5" xfId="8427"/>
    <cellStyle name="60% - 强调文字颜色 3 7 2" xfId="8428"/>
    <cellStyle name="常规 3 3 12" xfId="8429"/>
    <cellStyle name="60% - 强调文字颜色 3 7 2 2" xfId="8430"/>
    <cellStyle name="60% - 强调文字颜色 3 7 2 2 2" xfId="8431"/>
    <cellStyle name="60% - 强调文字颜色 3 7 2 2 2 2" xfId="8432"/>
    <cellStyle name="输入 3 3 5" xfId="8433"/>
    <cellStyle name="60% - 强调文字颜色 3 7 2 2 3" xfId="8434"/>
    <cellStyle name="60% - 强调文字颜色 3 7 2 3" xfId="8435"/>
    <cellStyle name="60% - 强调文字颜色 3 7 2 3 2" xfId="8436"/>
    <cellStyle name="60% - 强调文字颜色 3 7 2 4" xfId="8437"/>
    <cellStyle name="60% - 强调文字颜色 3 7 2 5" xfId="8438"/>
    <cellStyle name="60% - 强调文字颜色 3 7 3" xfId="8439"/>
    <cellStyle name="常规 3 3 13" xfId="8440"/>
    <cellStyle name="60% - 强调文字颜色 3 7 3 2 2" xfId="8441"/>
    <cellStyle name="60% - 强调文字颜色 3 7 3 2 2 2" xfId="8442"/>
    <cellStyle name="60% - 强调文字颜色 3 7 3 2 3" xfId="8443"/>
    <cellStyle name="60% - 强调文字颜色 3 7 3 3" xfId="8444"/>
    <cellStyle name="60% - 强调文字颜色 3 7 3 3 2" xfId="8445"/>
    <cellStyle name="60% - 强调文字颜色 3 7 3 4" xfId="8446"/>
    <cellStyle name="60% - 强调文字颜色 3 7 4" xfId="8447"/>
    <cellStyle name="常规 3 3 14" xfId="8448"/>
    <cellStyle name="60% - 强调文字颜色 3 7 4 2" xfId="8449"/>
    <cellStyle name="60% - 强调文字颜色 3 7 4 3" xfId="8450"/>
    <cellStyle name="60% - 强调文字颜色 3 7 5" xfId="8451"/>
    <cellStyle name="常规 3 3 15" xfId="8452"/>
    <cellStyle name="60% - 强调文字颜色 3 7 5 2" xfId="8453"/>
    <cellStyle name="60% - 强调文字颜色 3 7 9" xfId="8454"/>
    <cellStyle name="60% - 强调文字颜色 3 8" xfId="8455"/>
    <cellStyle name="60% - 强调文字颜色 3 8 10" xfId="8456"/>
    <cellStyle name="输入 13 9" xfId="8457"/>
    <cellStyle name="60% - 强调文字颜色 3 8 11" xfId="8458"/>
    <cellStyle name="60% - 强调文字颜色 3 8 12" xfId="8459"/>
    <cellStyle name="60% - 强调文字颜色 3 8 2" xfId="8460"/>
    <cellStyle name="60% - 强调文字颜色 3 8 2 2" xfId="8461"/>
    <cellStyle name="60% - 强调文字颜色 3 8 2 2 2" xfId="8462"/>
    <cellStyle name="60% - 强调文字颜色 3 8 2 2 2 2" xfId="8463"/>
    <cellStyle name="60% - 强调文字颜色 3 8 2 2 3" xfId="8464"/>
    <cellStyle name="60% - 强调文字颜色 3 8 2 3" xfId="8465"/>
    <cellStyle name="60% - 强调文字颜色 3 8 2 3 2" xfId="8466"/>
    <cellStyle name="60% - 强调文字颜色 3 8 2 5" xfId="8467"/>
    <cellStyle name="60% - 强调文字颜色 3 8 3" xfId="8468"/>
    <cellStyle name="60% - 强调文字颜色 3 8 3 2" xfId="8469"/>
    <cellStyle name="注释 10 15" xfId="8470"/>
    <cellStyle name="60% - 强调文字颜色 3 8 3 2 2" xfId="8471"/>
    <cellStyle name="60% - 强调文字颜色 3 8 3 2 3" xfId="8472"/>
    <cellStyle name="60% - 强调文字颜色 3 8 3 3 2" xfId="8473"/>
    <cellStyle name="60% - 强调文字颜色 3 8 4" xfId="8474"/>
    <cellStyle name="60% - 强调文字颜色 3 8 4 2" xfId="8475"/>
    <cellStyle name="60% - 强调文字颜色 3 8 4 2 2" xfId="8476"/>
    <cellStyle name="60% - 强调文字颜色 3 8 4 3" xfId="8477"/>
    <cellStyle name="60% - 强调文字颜色 3 8 5" xfId="8478"/>
    <cellStyle name="60% - 强调文字颜色 3 8 5 2" xfId="8479"/>
    <cellStyle name="60% - 强调文字颜色 3 8 8" xfId="8480"/>
    <cellStyle name="60% - 强调文字颜色 3 8 9" xfId="8481"/>
    <cellStyle name="60% - 强调文字颜色 3 9" xfId="8482"/>
    <cellStyle name="60% - 强调文字颜色 3 9 10" xfId="8483"/>
    <cellStyle name="60% - 强调文字颜色 3 9 11" xfId="8484"/>
    <cellStyle name="60% - 强调文字颜色 3 9 12" xfId="8485"/>
    <cellStyle name="常规 7 2 2 3 2" xfId="8486"/>
    <cellStyle name="60% - 强调文字颜色 3 9 2" xfId="8487"/>
    <cellStyle name="60% - 强调文字颜色 3 9 2 2" xfId="8488"/>
    <cellStyle name="60% - 强调文字颜色 3 9 2 2 2" xfId="8489"/>
    <cellStyle name="60% - 强调文字颜色 3 9 2 2 2 2" xfId="8490"/>
    <cellStyle name="千位分隔 3 2 3 3" xfId="8491"/>
    <cellStyle name="强调文字颜色 3 3 6" xfId="8492"/>
    <cellStyle name="60% - 强调文字颜色 3 9 2 2 3" xfId="8493"/>
    <cellStyle name="60% - 强调文字颜色 3 9 2 3" xfId="8494"/>
    <cellStyle name="60% - 强调文字颜色 3 9 2 3 2" xfId="8495"/>
    <cellStyle name="60% - 强调文字颜色 3 9 2 4" xfId="8496"/>
    <cellStyle name="60% - 强调文字颜色 3 9 2 5" xfId="8497"/>
    <cellStyle name="60% - 强调文字颜色 3 9 3" xfId="8498"/>
    <cellStyle name="60% - 强调文字颜色 3 9 3 2" xfId="8499"/>
    <cellStyle name="60% - 强调文字颜色 3 9 3 2 2" xfId="8500"/>
    <cellStyle name="60% - 强调文字颜色 3 9 3 2 3" xfId="8501"/>
    <cellStyle name="60% - 强调文字颜色 3 9 3 3" xfId="8502"/>
    <cellStyle name="60% - 强调文字颜色 3 9 3 3 2" xfId="8503"/>
    <cellStyle name="60% - 强调文字颜色 3 9 3 4" xfId="8504"/>
    <cellStyle name="60% - 强调文字颜色 3 9 4" xfId="8505"/>
    <cellStyle name="60% - 强调文字颜色 3 9 5" xfId="8506"/>
    <cellStyle name="60% - 强调文字颜色 3 9 7" xfId="8507"/>
    <cellStyle name="常规 7 2 2 10" xfId="8508"/>
    <cellStyle name="输出 3 15 2" xfId="8509"/>
    <cellStyle name="60% - 强调文字颜色 3 9 8" xfId="8510"/>
    <cellStyle name="60% - 强调文字颜色 4 10 10" xfId="8511"/>
    <cellStyle name="60% - 强调文字颜色 6 6 3 3" xfId="8512"/>
    <cellStyle name="60% - 强调文字颜色 4 10 2" xfId="8513"/>
    <cellStyle name="检查单元格 5 6" xfId="8514"/>
    <cellStyle name="60% - 强调文字颜色 4 10 2 2" xfId="8515"/>
    <cellStyle name="检查单元格 5 6 2" xfId="8516"/>
    <cellStyle name="60% - 强调文字颜色 4 10 2 2 2" xfId="8517"/>
    <cellStyle name="60% - 强调文字颜色 4 10 2 2 2 2" xfId="8518"/>
    <cellStyle name="60% - 强调文字颜色 4 10 2 2 3" xfId="8519"/>
    <cellStyle name="60% - 强调文字颜色 4 10 2 3" xfId="8520"/>
    <cellStyle name="输出 9 6 5 2" xfId="8521"/>
    <cellStyle name="60% - 强调文字颜色 4 10 2 3 2" xfId="8522"/>
    <cellStyle name="60% - 强调文字颜色 4 10 2 4" xfId="8523"/>
    <cellStyle name="常规 2 3 3 2 2" xfId="8524"/>
    <cellStyle name="60% - 强调文字颜色 4 10 2 5" xfId="8525"/>
    <cellStyle name="常规 2 3 3 2 3" xfId="8526"/>
    <cellStyle name="60% - 强调文字颜色 4 10 3" xfId="8527"/>
    <cellStyle name="检查单元格 5 7" xfId="8528"/>
    <cellStyle name="60% - 强调文字颜色 4 10 3 2" xfId="8529"/>
    <cellStyle name="差 7 11" xfId="8530"/>
    <cellStyle name="60% - 强调文字颜色 4 10 3 2 2" xfId="8531"/>
    <cellStyle name="60% - 强调文字颜色 4 10 3 2 2 2" xfId="8532"/>
    <cellStyle name="60% - 强调文字颜色 4 10 3 2 3" xfId="8533"/>
    <cellStyle name="60% - 强调文字颜色 4 10 3 3 2" xfId="8534"/>
    <cellStyle name="60% - 强调文字颜色 4 10 3 4" xfId="8535"/>
    <cellStyle name="常规 2 3 3 3 2" xfId="8536"/>
    <cellStyle name="60% - 强调文字颜色 4 10 4" xfId="8537"/>
    <cellStyle name="检查单元格 5 8" xfId="8538"/>
    <cellStyle name="60% - 强调文字颜色 4 10 4 2" xfId="8539"/>
    <cellStyle name="60% - 强调文字颜色 4 10 4 2 2" xfId="8540"/>
    <cellStyle name="60% - 强调文字颜色 4 10 4 3" xfId="8541"/>
    <cellStyle name="60% - 强调文字颜色 4 10 5" xfId="8542"/>
    <cellStyle name="检查单元格 5 9" xfId="8543"/>
    <cellStyle name="60% - 强调文字颜色 4 10 5 2" xfId="8544"/>
    <cellStyle name="60% - 强调文字颜色 4 10 6" xfId="8545"/>
    <cellStyle name="60% - 强调文字颜色 4 10 6 2" xfId="8546"/>
    <cellStyle name="60% - 强调文字颜色 4 10 7" xfId="8547"/>
    <cellStyle name="60% - 强调文字颜色 4 10 8" xfId="8548"/>
    <cellStyle name="60% - 强调文字颜色 4 10 9" xfId="8549"/>
    <cellStyle name="60% - 强调文字颜色 4 11" xfId="8550"/>
    <cellStyle name="60% - 强调文字颜色 4 11 10" xfId="8551"/>
    <cellStyle name="60% - 强调文字颜色 4 11 12" xfId="8552"/>
    <cellStyle name="60% - 强调文字颜色 4 11 2" xfId="8553"/>
    <cellStyle name="检查单元格 6 6" xfId="8554"/>
    <cellStyle name="60% - 强调文字颜色 4 11 2 2" xfId="8555"/>
    <cellStyle name="检查单元格 6 6 2" xfId="8556"/>
    <cellStyle name="60% - 强调文字颜色 4 11 2 3" xfId="8557"/>
    <cellStyle name="60% - 强调文字颜色 4 11 2 4" xfId="8558"/>
    <cellStyle name="常规 2 3 4 2 2" xfId="8559"/>
    <cellStyle name="60% - 强调文字颜色 4 11 2 5" xfId="8560"/>
    <cellStyle name="60% - 强调文字颜色 4 11 3" xfId="8561"/>
    <cellStyle name="检查单元格 6 7" xfId="8562"/>
    <cellStyle name="60% - 强调文字颜色 4 11 3 2" xfId="8563"/>
    <cellStyle name="60% - 强调文字颜色 4 11 3 2 2" xfId="8564"/>
    <cellStyle name="60% - 强调文字颜色 4 11 3 2 2 2" xfId="8565"/>
    <cellStyle name="60% - 强调文字颜色 4 11 3 2 3" xfId="8566"/>
    <cellStyle name="60% - 强调文字颜色 4 11 3 3" xfId="8567"/>
    <cellStyle name="60% - 强调文字颜色 4 11 3 3 2" xfId="8568"/>
    <cellStyle name="60% - 强调文字颜色 4 11 3 4" xfId="8569"/>
    <cellStyle name="60% - 强调文字颜色 4 11 4" xfId="8570"/>
    <cellStyle name="检查单元格 6 8" xfId="8571"/>
    <cellStyle name="60% - 强调文字颜色 4 11 4 2" xfId="8572"/>
    <cellStyle name="60% - 强调文字颜色 4 11 4 2 2" xfId="8573"/>
    <cellStyle name="60% - 强调文字颜色 4 11 4 3" xfId="8574"/>
    <cellStyle name="60% - 强调文字颜色 4 11 5" xfId="8575"/>
    <cellStyle name="检查单元格 6 9" xfId="8576"/>
    <cellStyle name="60% - 强调文字颜色 4 11 5 2" xfId="8577"/>
    <cellStyle name="60% - 强调文字颜色 4 11 6" xfId="8578"/>
    <cellStyle name="60% - 强调文字颜色 4 11 6 2" xfId="8579"/>
    <cellStyle name="60% - 强调文字颜色 4 11 7" xfId="8580"/>
    <cellStyle name="60% - 强调文字颜色 4 11 8" xfId="8581"/>
    <cellStyle name="60% - 强调文字颜色 4 11 9" xfId="8582"/>
    <cellStyle name="60% - 强调文字颜色 4 12 10" xfId="8583"/>
    <cellStyle name="60% - 强调文字颜色 4 12 11" xfId="8584"/>
    <cellStyle name="60% - 强调文字颜色 4 12 12" xfId="8585"/>
    <cellStyle name="60% - 强调文字颜色 4 12 2" xfId="8586"/>
    <cellStyle name="检查单元格 7 6" xfId="8587"/>
    <cellStyle name="60% - 强调文字颜色 4 12 2 2" xfId="8588"/>
    <cellStyle name="检查单元格 7 6 2" xfId="8589"/>
    <cellStyle name="60% - 强调文字颜色 4 12 2 2 2" xfId="8590"/>
    <cellStyle name="60% - 强调文字颜色 4 12 2 2 2 2" xfId="8591"/>
    <cellStyle name="60% - 强调文字颜色 4 12 2 2 3" xfId="8592"/>
    <cellStyle name="60% - 强调文字颜色 4 12 2 3" xfId="8593"/>
    <cellStyle name="60% - 强调文字颜色 4 12 2 3 2" xfId="8594"/>
    <cellStyle name="60% - 强调文字颜色 4 12 3" xfId="8595"/>
    <cellStyle name="检查单元格 7 7" xfId="8596"/>
    <cellStyle name="60% - 强调文字颜色 4 12 3 2" xfId="8597"/>
    <cellStyle name="60% - 强调文字颜色 4 12 3 2 2" xfId="8598"/>
    <cellStyle name="60% - 强调文字颜色 4 12 3 2 2 2" xfId="8599"/>
    <cellStyle name="60% - 强调文字颜色 4 12 3 2 3" xfId="8600"/>
    <cellStyle name="60% - 强调文字颜色 4 12 3 3" xfId="8601"/>
    <cellStyle name="60% - 强调文字颜色 4 12 3 3 2" xfId="8602"/>
    <cellStyle name="60% - 强调文字颜色 4 12 4 2" xfId="8603"/>
    <cellStyle name="60% - 强调文字颜色 4 12 4 2 2" xfId="8604"/>
    <cellStyle name="60% - 强调文字颜色 4 12 4 3" xfId="8605"/>
    <cellStyle name="60% - 强调文字颜色 4 12 5" xfId="8606"/>
    <cellStyle name="检查单元格 7 9" xfId="8607"/>
    <cellStyle name="60% - 强调文字颜色 4 12 5 2" xfId="8608"/>
    <cellStyle name="60% - 强调文字颜色 4 12 6" xfId="8609"/>
    <cellStyle name="60% - 强调文字颜色 4 12 6 2" xfId="8610"/>
    <cellStyle name="60% - 强调文字颜色 4 12 7" xfId="8611"/>
    <cellStyle name="60% - 强调文字颜色 4 12 8" xfId="8612"/>
    <cellStyle name="60% - 强调文字颜色 4 12 9" xfId="8613"/>
    <cellStyle name="60% - 强调文字颜色 4 13" xfId="8614"/>
    <cellStyle name="60% - 强调文字颜色 4 13 10" xfId="8615"/>
    <cellStyle name="60% - 强调文字颜色 4 13 12" xfId="8616"/>
    <cellStyle name="60% - 强调文字颜色 4 13 13" xfId="8617"/>
    <cellStyle name="60% - 强调文字颜色 4 13 2" xfId="8618"/>
    <cellStyle name="检查单元格 8 6" xfId="8619"/>
    <cellStyle name="千位分隔 4 2 3" xfId="8620"/>
    <cellStyle name="60% - 强调文字颜色 4 13 2 2" xfId="8621"/>
    <cellStyle name="常规 5 8" xfId="8622"/>
    <cellStyle name="检查单元格 8 6 2" xfId="8623"/>
    <cellStyle name="千位分隔 4 2 3 2" xfId="8624"/>
    <cellStyle name="60% - 强调文字颜色 4 13 2 2 2" xfId="8625"/>
    <cellStyle name="常规 5 8 2" xfId="8626"/>
    <cellStyle name="千位分隔 4 2 3 2 2" xfId="8627"/>
    <cellStyle name="60% - 强调文字颜色 4 13 2 2 2 2" xfId="8628"/>
    <cellStyle name="好 9 2 2 3" xfId="8629"/>
    <cellStyle name="检查单元格 12 9" xfId="8630"/>
    <cellStyle name="60% - 强调文字颜色 4 13 2 2 3" xfId="8631"/>
    <cellStyle name="常规 5 8 3" xfId="8632"/>
    <cellStyle name="60% - 强调文字颜色 4 13 2 3 2" xfId="8633"/>
    <cellStyle name="60% - 强调文字颜色 4 13 3" xfId="8634"/>
    <cellStyle name="检查单元格 8 7" xfId="8635"/>
    <cellStyle name="千位分隔 4 2 4" xfId="8636"/>
    <cellStyle name="60% - 强调文字颜色 4 13 3 2" xfId="8637"/>
    <cellStyle name="常规 6 8" xfId="8638"/>
    <cellStyle name="千位分隔 4 2 4 2" xfId="8639"/>
    <cellStyle name="60% - 强调文字颜色 4 13 3 2 2" xfId="8640"/>
    <cellStyle name="60% - 强调文字颜色 4 13 3 2 2 2" xfId="8641"/>
    <cellStyle name="60% - 强调文字颜色 4 13 3 2 3" xfId="8642"/>
    <cellStyle name="60% - 强调文字颜色 4 13 3 3" xfId="8643"/>
    <cellStyle name="常规 6 9" xfId="8644"/>
    <cellStyle name="60% - 强调文字颜色 4 13 3 3 2" xfId="8645"/>
    <cellStyle name="适中 6" xfId="8646"/>
    <cellStyle name="60% - 强调文字颜色 4 13 4" xfId="8647"/>
    <cellStyle name="检查单元格 8 8" xfId="8648"/>
    <cellStyle name="千位分隔 4 2 5" xfId="8649"/>
    <cellStyle name="60% - 强调文字颜色 4 13 4 2" xfId="8650"/>
    <cellStyle name="常规 7 8" xfId="8651"/>
    <cellStyle name="60% - 强调文字颜色 4 13 4 2 2" xfId="8652"/>
    <cellStyle name="常规 7 8 2" xfId="8653"/>
    <cellStyle name="60% - 强调文字颜色 4 13 4 3" xfId="8654"/>
    <cellStyle name="常规 7 9" xfId="8655"/>
    <cellStyle name="60% - 强调文字颜色 4 13 5" xfId="8656"/>
    <cellStyle name="检查单元格 8 9" xfId="8657"/>
    <cellStyle name="千位分隔 4 2 6" xfId="8658"/>
    <cellStyle name="60% - 强调文字颜色 4 13 5 2" xfId="8659"/>
    <cellStyle name="常规 8 8" xfId="8660"/>
    <cellStyle name="60% - 强调文字颜色 4 13 6" xfId="8661"/>
    <cellStyle name="千位分隔 4 2 7" xfId="8662"/>
    <cellStyle name="60% - 强调文字颜色 4 13 6 2" xfId="8663"/>
    <cellStyle name="常规 9 8" xfId="8664"/>
    <cellStyle name="60% - 强调文字颜色 4 13 7" xfId="8665"/>
    <cellStyle name="60% - 强调文字颜色 4 13 8" xfId="8666"/>
    <cellStyle name="60% - 强调文字颜色 4 13 9" xfId="8667"/>
    <cellStyle name="60% - 强调文字颜色 4 14" xfId="8668"/>
    <cellStyle name="60% - 强调文字颜色 4 14 2" xfId="8669"/>
    <cellStyle name="检查单元格 9 6" xfId="8670"/>
    <cellStyle name="千位分隔 4 3 3" xfId="8671"/>
    <cellStyle name="60% - 强调文字颜色 4 14 2 2" xfId="8672"/>
    <cellStyle name="检查单元格 9 6 2" xfId="8673"/>
    <cellStyle name="60% - 强调文字颜色 4 14 2 3" xfId="8674"/>
    <cellStyle name="60% - 强调文字颜色 4 14 3" xfId="8675"/>
    <cellStyle name="检查单元格 9 7" xfId="8676"/>
    <cellStyle name="千位分隔 4 3 4" xfId="8677"/>
    <cellStyle name="60% - 强调文字颜色 4 14 3 2" xfId="8678"/>
    <cellStyle name="60% - 强调文字颜色 4 14 4" xfId="8679"/>
    <cellStyle name="检查单元格 9 8" xfId="8680"/>
    <cellStyle name="60% - 强调文字颜色 4 15" xfId="8681"/>
    <cellStyle name="60% - 强调文字颜色 4 15 2" xfId="8682"/>
    <cellStyle name="千位分隔 4 4 3" xfId="8683"/>
    <cellStyle name="60% - 强调文字颜色 4 15 2 2" xfId="8684"/>
    <cellStyle name="60% - 强调文字颜色 4 15 3" xfId="8685"/>
    <cellStyle name="常规 6 2 2 2 2" xfId="8686"/>
    <cellStyle name="60% - 强调文字颜色 4 16" xfId="8687"/>
    <cellStyle name="注释 18 10" xfId="8688"/>
    <cellStyle name="60% - 强调文字颜色 4 16 2" xfId="8689"/>
    <cellStyle name="60% - 强调文字颜色 4 17" xfId="8690"/>
    <cellStyle name="注释 18 11" xfId="8691"/>
    <cellStyle name="60% - 强调文字颜色 4 2 10" xfId="8692"/>
    <cellStyle name="60% - 强调文字颜色 4 2 11" xfId="8693"/>
    <cellStyle name="60% - 强调文字颜色 4 2 12" xfId="8694"/>
    <cellStyle name="60% - 强调文字颜色 4 2 2" xfId="8695"/>
    <cellStyle name="60% - 强调文字颜色 4 2 2 2" xfId="8696"/>
    <cellStyle name="60% - 强调文字颜色 4 2 2 2 2" xfId="8697"/>
    <cellStyle name="60% - 强调文字颜色 4 2 2 2 2 3 2" xfId="8698"/>
    <cellStyle name="Header2 3 4" xfId="8699"/>
    <cellStyle name="强调文字颜色 5 11 6" xfId="8700"/>
    <cellStyle name="60% - 强调文字颜色 4 2 2 2 2 4" xfId="8701"/>
    <cellStyle name="60% - 强调文字颜色 4 2 2 2 3" xfId="8702"/>
    <cellStyle name="60% - 强调文字颜色 4 2 2 3" xfId="8703"/>
    <cellStyle name="60% - 强调文字颜色 4 2 2 3 2" xfId="8704"/>
    <cellStyle name="60% - 强调文字颜色 4 2 2 3 3" xfId="8705"/>
    <cellStyle name="60% - 强调文字颜色 4 2 2 4" xfId="8706"/>
    <cellStyle name="60% - 强调文字颜色 4 2 2 4 2" xfId="8707"/>
    <cellStyle name="60% - 强调文字颜色 4 2 2 5" xfId="8708"/>
    <cellStyle name="60% - 强调文字颜色 4 2 3" xfId="8709"/>
    <cellStyle name="60% - 强调文字颜色 4 2 3 2" xfId="8710"/>
    <cellStyle name="60% - 强调文字颜色 4 2 3 2 2" xfId="8711"/>
    <cellStyle name="60% - 强调文字颜色 4 2 3 2 3" xfId="8712"/>
    <cellStyle name="60% - 强调文字颜色 4 2 3 3" xfId="8713"/>
    <cellStyle name="60% - 强调文字颜色 4 2 3 3 2" xfId="8714"/>
    <cellStyle name="60% - 强调文字颜色 4 2 3 4" xfId="8715"/>
    <cellStyle name="60% - 强调文字颜色 4 2 4 2 3" xfId="8716"/>
    <cellStyle name="60% - 强调文字颜色 4 2 4 3 2" xfId="8717"/>
    <cellStyle name="60% - 强调文字颜色 4 2 4 4" xfId="8718"/>
    <cellStyle name="60% - 强调文字颜色 4 2 5 2 2" xfId="8719"/>
    <cellStyle name="60% - 强调文字颜色 4 2 5 3" xfId="8720"/>
    <cellStyle name="60% - 强调文字颜色 4 2 6 2" xfId="8721"/>
    <cellStyle name="60% - 强调文字颜色 4 2 7 2" xfId="8722"/>
    <cellStyle name="60% - 强调文字颜色 4 2 8" xfId="8723"/>
    <cellStyle name="60% - 强调文字颜色 4 2 9" xfId="8724"/>
    <cellStyle name="60% - 强调文字颜色 4 3" xfId="8725"/>
    <cellStyle name="60% - 强调文字颜色 4 3 10" xfId="8726"/>
    <cellStyle name="60% - 强调文字颜色 4 3 12" xfId="8727"/>
    <cellStyle name="60% - 强调文字颜色 4 3 2" xfId="8728"/>
    <cellStyle name="60% - 强调文字颜色 4 3 2 2 2" xfId="8729"/>
    <cellStyle name="强调文字颜色 1 11 6" xfId="8730"/>
    <cellStyle name="60% - 强调文字颜色 4 3 2 2 3" xfId="8731"/>
    <cellStyle name="强调文字颜色 1 11 7" xfId="8732"/>
    <cellStyle name="60% - 强调文字颜色 4 3 2 3 2" xfId="8733"/>
    <cellStyle name="强调文字颜色 1 12 6" xfId="8734"/>
    <cellStyle name="60% - 强调文字颜色 4 3 2 4" xfId="8735"/>
    <cellStyle name="60% - 强调文字颜色 4 3 2 5" xfId="8736"/>
    <cellStyle name="60% - 强调文字颜色 4 3 3" xfId="8737"/>
    <cellStyle name="60% - 强调文字颜色 4 3 3 2" xfId="8738"/>
    <cellStyle name="60% - 强调文字颜色 4 3 3 2 2" xfId="8739"/>
    <cellStyle name="60% - 强调文字颜色 4 3 3 2 3" xfId="8740"/>
    <cellStyle name="60% - 强调文字颜色 4 3 3 3" xfId="8741"/>
    <cellStyle name="60% - 强调文字颜色 4 3 3 3 2" xfId="8742"/>
    <cellStyle name="60% - 强调文字颜色 4 3 3 4" xfId="8743"/>
    <cellStyle name="60% - 强调文字颜色 4 3 4 2 2" xfId="8744"/>
    <cellStyle name="60% - 强调文字颜色 4 3 4 3" xfId="8745"/>
    <cellStyle name="60% - 强调文字颜色 4 3 5 2" xfId="8746"/>
    <cellStyle name="60% - 强调文字颜色 4 3 6" xfId="8747"/>
    <cellStyle name="60% - 强调文字颜色 4 3 6 2" xfId="8748"/>
    <cellStyle name="60% - 强调文字颜色 4 3 7" xfId="8749"/>
    <cellStyle name="注释 18 2 2" xfId="8750"/>
    <cellStyle name="注释 23 2 2" xfId="8751"/>
    <cellStyle name="60% - 强调文字颜色 4 3 8" xfId="8752"/>
    <cellStyle name="注释 18 2 3" xfId="8753"/>
    <cellStyle name="60% - 强调文字颜色 4 3 9" xfId="8754"/>
    <cellStyle name="60% - 强调文字颜色 4 4" xfId="8755"/>
    <cellStyle name="60% - 强调文字颜色 4 4 10" xfId="8756"/>
    <cellStyle name="60% - 强调文字颜色 4 4 11" xfId="8757"/>
    <cellStyle name="60% - 强调文字颜色 4 4 12" xfId="8758"/>
    <cellStyle name="60% - 强调文字颜色 4 4 2" xfId="8759"/>
    <cellStyle name="标题 2 12 2 2 3" xfId="8760"/>
    <cellStyle name="标题 3 2 2 5" xfId="8761"/>
    <cellStyle name="60% - 强调文字颜色 4 4 2 2" xfId="8762"/>
    <cellStyle name="60% - 强调文字颜色 4 4 2 3" xfId="8763"/>
    <cellStyle name="60% - 强调文字颜色 4 4 3" xfId="8764"/>
    <cellStyle name="60% - 强调文字颜色 4 4 3 2" xfId="8765"/>
    <cellStyle name="60% - 强调文字颜色 4 4 3 3" xfId="8766"/>
    <cellStyle name="60% - 强调文字颜色 4 4 4 2" xfId="8767"/>
    <cellStyle name="60% - 强调文字颜色 4 4 4 3" xfId="8768"/>
    <cellStyle name="60% - 强调文字颜色 4 4 5" xfId="8769"/>
    <cellStyle name="60% - 强调文字颜色 4 4 5 2" xfId="8770"/>
    <cellStyle name="60% - 强调文字颜色 4 4 6" xfId="8771"/>
    <cellStyle name="60% - 强调文字颜色 4 4 6 2" xfId="8772"/>
    <cellStyle name="60% - 强调文字颜色 4 4 7" xfId="8773"/>
    <cellStyle name="注释 18 3 2" xfId="8774"/>
    <cellStyle name="60% - 强调文字颜色 4 4 8" xfId="8775"/>
    <cellStyle name="注释 18 3 3" xfId="8776"/>
    <cellStyle name="60% - 强调文字颜色 4 4 9" xfId="8777"/>
    <cellStyle name="60% - 强调文字颜色 4 5" xfId="8778"/>
    <cellStyle name="60% - 强调文字颜色 4 5 10" xfId="8779"/>
    <cellStyle name="60% - 强调文字颜色 4 5 11" xfId="8780"/>
    <cellStyle name="60% - 强调文字颜色 4 5 12" xfId="8781"/>
    <cellStyle name="60% - 强调文字颜色 4 5 2" xfId="8782"/>
    <cellStyle name="60% - 强调文字颜色 4 5 2 2" xfId="8783"/>
    <cellStyle name="60% - 强调文字颜色 4 5 2 2 2" xfId="8784"/>
    <cellStyle name="60% - 强调文字颜色 4 5 2 2 2 2" xfId="8785"/>
    <cellStyle name="60% - 强调文字颜色 4 5 3 2 3" xfId="8786"/>
    <cellStyle name="60% - 强调文字颜色 4 5 2 2 3" xfId="8787"/>
    <cellStyle name="60% - 强调文字颜色 4 5 2 3" xfId="8788"/>
    <cellStyle name="60% - 强调文字颜色 4 5 2 3 2" xfId="8789"/>
    <cellStyle name="60% - 强调文字颜色 4 5 3" xfId="8790"/>
    <cellStyle name="60% - 强调文字颜色 4 5 3 2" xfId="8791"/>
    <cellStyle name="60% - 强调文字颜色 4 5 3 2 2" xfId="8792"/>
    <cellStyle name="60% - 强调文字颜色 4 5 3 2 2 2" xfId="8793"/>
    <cellStyle name="60% - 强调文字颜色 4 6 3 2 3" xfId="8794"/>
    <cellStyle name="60% - 强调文字颜色 4 5 3 3" xfId="8795"/>
    <cellStyle name="60% - 强调文字颜色 4 5 3 3 2" xfId="8796"/>
    <cellStyle name="60% - 强调文字颜色 4 5 4 2" xfId="8797"/>
    <cellStyle name="60% - 强调文字颜色 4 5 4 2 2" xfId="8798"/>
    <cellStyle name="60% - 强调文字颜色 4 5 4 3" xfId="8799"/>
    <cellStyle name="检查单元格 2 2" xfId="8800"/>
    <cellStyle name="60% - 强调文字颜色 4 5 5" xfId="8801"/>
    <cellStyle name="60% - 强调文字颜色 4 5 5 2" xfId="8802"/>
    <cellStyle name="60% - 强调文字颜色 4 5 6" xfId="8803"/>
    <cellStyle name="60% - 强调文字颜色 4 5 6 2" xfId="8804"/>
    <cellStyle name="60% - 强调文字颜色 4 5 8" xfId="8805"/>
    <cellStyle name="60% - 强调文字颜色 4 5 9" xfId="8806"/>
    <cellStyle name="标题 2 4 2 2 2" xfId="8807"/>
    <cellStyle name="60% - 强调文字颜色 4 6" xfId="8808"/>
    <cellStyle name="60% - 强调文字颜色 4 6 10" xfId="8809"/>
    <cellStyle name="标题 3 2 6 2" xfId="8810"/>
    <cellStyle name="60% - 强调文字颜色 4 6 11" xfId="8811"/>
    <cellStyle name="60% - 强调文字颜色 4 6 12" xfId="8812"/>
    <cellStyle name="60% - 强调文字颜色 4 6 2" xfId="8813"/>
    <cellStyle name="60% - 强调文字颜色 4 6 2 2" xfId="8814"/>
    <cellStyle name="60% - 强调文字颜色 4 6 2 2 2" xfId="8815"/>
    <cellStyle name="60% - 强调文字颜色 4 6 2 2 2 2" xfId="8816"/>
    <cellStyle name="60% - 强调文字颜色 5 5 3 2 3" xfId="8817"/>
    <cellStyle name="60% - 强调文字颜色 4 6 2 2 3" xfId="8818"/>
    <cellStyle name="解释性文本 9 2" xfId="8819"/>
    <cellStyle name="60% - 强调文字颜色 4 6 2 3" xfId="8820"/>
    <cellStyle name="60% - 强调文字颜色 4 6 2 3 2" xfId="8821"/>
    <cellStyle name="60% - 强调文字颜色 4 6 3 2 2" xfId="8822"/>
    <cellStyle name="60% - 强调文字颜色 4 6 3 2 2 2" xfId="8823"/>
    <cellStyle name="60% - 强调文字颜色 5 6 3 2 3" xfId="8824"/>
    <cellStyle name="60% - 强调文字颜色 4 6 3 3 2" xfId="8825"/>
    <cellStyle name="60% - 强调文字颜色 4 6 4 2" xfId="8826"/>
    <cellStyle name="60% - 强调文字颜色 4 6 4 2 2" xfId="8827"/>
    <cellStyle name="60% - 强调文字颜色 4 6 4 3" xfId="8828"/>
    <cellStyle name="60% - 强调文字颜色 4 6 5 2" xfId="8829"/>
    <cellStyle name="60% - 强调文字颜色 4 7" xfId="8830"/>
    <cellStyle name="60% - 强调文字颜色 4 7 10" xfId="8831"/>
    <cellStyle name="60% - 强调文字颜色 4 7 11" xfId="8832"/>
    <cellStyle name="标题 3 13 2 2 2 2" xfId="8833"/>
    <cellStyle name="60% - 强调文字颜色 4 7 12" xfId="8834"/>
    <cellStyle name="60% - 强调文字颜色 4 7 2" xfId="8835"/>
    <cellStyle name="60% - 强调文字颜色 4 7 2 2" xfId="8836"/>
    <cellStyle name="60% - 强调文字颜色 4 7 2 2 2" xfId="8837"/>
    <cellStyle name="输入 9 5 4" xfId="8838"/>
    <cellStyle name="60% - 强调文字颜色 4 7 2 2 2 2" xfId="8839"/>
    <cellStyle name="60% - 强调文字颜色 6 5 3 2 3" xfId="8840"/>
    <cellStyle name="60% - 强调文字颜色 4 7 2 2 3" xfId="8841"/>
    <cellStyle name="输入 9 5 5" xfId="8842"/>
    <cellStyle name="60% - 强调文字颜色 4 7 2 3" xfId="8843"/>
    <cellStyle name="60% - 强调文字颜色 4 7 2 3 2" xfId="8844"/>
    <cellStyle name="输入 9 6 4" xfId="8845"/>
    <cellStyle name="60% - 强调文字颜色 4 7 2 5" xfId="8846"/>
    <cellStyle name="60% - 强调文字颜色 4 7 3" xfId="8847"/>
    <cellStyle name="60% - 强调文字颜色 4 7 3 2 2" xfId="8848"/>
    <cellStyle name="60% - 强调文字颜色 4 7 3 2 2 2" xfId="8849"/>
    <cellStyle name="60% - 强调文字颜色 6 6 3 2 3" xfId="8850"/>
    <cellStyle name="60% - 强调文字颜色 4 7 3 2 3" xfId="8851"/>
    <cellStyle name="60% - 强调文字颜色 4 7 3 3" xfId="8852"/>
    <cellStyle name="60% - 强调文字颜色 4 7 3 3 2" xfId="8853"/>
    <cellStyle name="Border 2 4" xfId="8854"/>
    <cellStyle name="60% - 强调文字颜色 4 7 3 4" xfId="8855"/>
    <cellStyle name="60% - 强调文字颜色 4 7 4" xfId="8856"/>
    <cellStyle name="60% - 强调文字颜色 4 7 4 2" xfId="8857"/>
    <cellStyle name="60% - 强调文字颜色 4 7 4 2 2" xfId="8858"/>
    <cellStyle name="60% - 强调文字颜色 4 7 4 3" xfId="8859"/>
    <cellStyle name="60% - 强调文字颜色 4 7 5" xfId="8860"/>
    <cellStyle name="60% - 强调文字颜色 4 7 5 2" xfId="8861"/>
    <cellStyle name="60% - 强调文字颜色 4 7 9" xfId="8862"/>
    <cellStyle name="60% - 强调文字颜色 4 8" xfId="8863"/>
    <cellStyle name="60% - 强调文字颜色 4 8 10" xfId="8864"/>
    <cellStyle name="60% - 强调文字颜色 4 8 11" xfId="8865"/>
    <cellStyle name="60% - 强调文字颜色 4 8 12" xfId="8866"/>
    <cellStyle name="60% - 强调文字颜色 4 8 2" xfId="8867"/>
    <cellStyle name="60% - 强调文字颜色 4 8 2 2" xfId="8868"/>
    <cellStyle name="60% - 强调文字颜色 4 8 2 2 2" xfId="8869"/>
    <cellStyle name="60% - 强调文字颜色 4 8 2 2 2 2" xfId="8870"/>
    <cellStyle name="60% - 强调文字颜色 4 8 2 2 3" xfId="8871"/>
    <cellStyle name="60% - 强调文字颜色 4 8 2 3" xfId="8872"/>
    <cellStyle name="60% - 强调文字颜色 4 8 2 3 2" xfId="8873"/>
    <cellStyle name="标题 1 7 2 3" xfId="8874"/>
    <cellStyle name="60% - 强调文字颜色 4 8 2 4" xfId="8875"/>
    <cellStyle name="60% - 强调文字颜色 4 8 2 5" xfId="8876"/>
    <cellStyle name="60% - 强调文字颜色 4 8 3" xfId="8877"/>
    <cellStyle name="60% - 强调文字颜色 4 8 3 2" xfId="8878"/>
    <cellStyle name="60% - 强调文字颜色 4 8 3 2 2" xfId="8879"/>
    <cellStyle name="60% - 强调文字颜色 4 8 3 2 2 2" xfId="8880"/>
    <cellStyle name="60% - 强调文字颜色 4 8 3 2 3" xfId="8881"/>
    <cellStyle name="60% - 强调文字颜色 4 8 3 3" xfId="8882"/>
    <cellStyle name="60% - 强调文字颜色 4 8 3 3 2" xfId="8883"/>
    <cellStyle name="标题 1 8 2 3" xfId="8884"/>
    <cellStyle name="60% - 强调文字颜色 4 8 3 4" xfId="8885"/>
    <cellStyle name="60% - 强调文字颜色 4 8 4" xfId="8886"/>
    <cellStyle name="60% - 强调文字颜色 4 8 4 2" xfId="8887"/>
    <cellStyle name="60% - 强调文字颜色 4 8 4 2 2" xfId="8888"/>
    <cellStyle name="60% - 强调文字颜色 4 8 4 3" xfId="8889"/>
    <cellStyle name="60% - 强调文字颜色 4 8 5" xfId="8890"/>
    <cellStyle name="60% - 强调文字颜色 4 8 5 2" xfId="8891"/>
    <cellStyle name="60% - 强调文字颜色 4 8 8" xfId="8892"/>
    <cellStyle name="60% - 强调文字颜色 4 8 9" xfId="8893"/>
    <cellStyle name="60% - 强调文字颜色 4 9" xfId="8894"/>
    <cellStyle name="60% - 强调文字颜色 4 9 10" xfId="8895"/>
    <cellStyle name="60% - 强调文字颜色 4 9 11" xfId="8896"/>
    <cellStyle name="60% - 强调文字颜色 4 9 12" xfId="8897"/>
    <cellStyle name="60% - 强调文字颜色 4 9 2" xfId="8898"/>
    <cellStyle name="60% - 强调文字颜色 4 9 2 2" xfId="8899"/>
    <cellStyle name="60% - 强调文字颜色 4 9 2 2 2" xfId="8900"/>
    <cellStyle name="注释 6 4 4" xfId="8901"/>
    <cellStyle name="60% - 强调文字颜色 4 9 2 2 2 2" xfId="8902"/>
    <cellStyle name="60% - 强调文字颜色 4 9 2 2 3" xfId="8903"/>
    <cellStyle name="注释 6 4 5" xfId="8904"/>
    <cellStyle name="60% - 强调文字颜色 4 9 2 3" xfId="8905"/>
    <cellStyle name="60% - 强调文字颜色 4 9 2 3 2" xfId="8906"/>
    <cellStyle name="标题 2 7 2 3" xfId="8907"/>
    <cellStyle name="注释 6 5 4" xfId="8908"/>
    <cellStyle name="60% - 强调文字颜色 4 9 2 4" xfId="8909"/>
    <cellStyle name="60% - 强调文字颜色 4 9 2 5" xfId="8910"/>
    <cellStyle name="60% - 强调文字颜色 4 9 3" xfId="8911"/>
    <cellStyle name="60% - 强调文字颜色 4 9 3 2" xfId="8912"/>
    <cellStyle name="60% - 强调文字颜色 4 9 3 2 2" xfId="8913"/>
    <cellStyle name="注释 7 4 4" xfId="8914"/>
    <cellStyle name="60% - 强调文字颜色 4 9 3 2 2 2" xfId="8915"/>
    <cellStyle name="60% - 强调文字颜色 4 9 3 2 3" xfId="8916"/>
    <cellStyle name="注释 7 4 5" xfId="8917"/>
    <cellStyle name="60% - 强调文字颜色 4 9 3 3" xfId="8918"/>
    <cellStyle name="60% - 强调文字颜色 4 9 3 3 2" xfId="8919"/>
    <cellStyle name="标题 2 8 2 3" xfId="8920"/>
    <cellStyle name="注释 7 5 4" xfId="8921"/>
    <cellStyle name="60% - 强调文字颜色 4 9 3 4" xfId="8922"/>
    <cellStyle name="60% - 强调文字颜色 4 9 4" xfId="8923"/>
    <cellStyle name="60% - 强调文字颜色 4 9 4 2" xfId="8924"/>
    <cellStyle name="60% - 强调文字颜色 4 9 4 2 2" xfId="8925"/>
    <cellStyle name="注释 8 4 4" xfId="8926"/>
    <cellStyle name="60% - 强调文字颜色 4 9 4 3" xfId="8927"/>
    <cellStyle name="60% - 强调文字颜色 4 9 5" xfId="8928"/>
    <cellStyle name="60% - 强调文字颜色 4 9 5 2" xfId="8929"/>
    <cellStyle name="60% - 强调文字颜色 4 9 6 2" xfId="8930"/>
    <cellStyle name="60% - 强调文字颜色 4 9 7" xfId="8931"/>
    <cellStyle name="60% - 强调文字颜色 4 9 8" xfId="8932"/>
    <cellStyle name="60% - 强调文字颜色 5 10" xfId="8933"/>
    <cellStyle name="60% - 强调文字颜色 5 10 10" xfId="8934"/>
    <cellStyle name="链接单元格 4 5" xfId="8935"/>
    <cellStyle name="60% - 强调文字颜色 5 10 2" xfId="8936"/>
    <cellStyle name="链接单元格 11" xfId="8937"/>
    <cellStyle name="60% - 强调文字颜色 5 10 2 2" xfId="8938"/>
    <cellStyle name="60% - 强调文字颜色 6 6 11" xfId="8939"/>
    <cellStyle name="链接单元格 11 2" xfId="8940"/>
    <cellStyle name="60% - 强调文字颜色 5 10 2 2 2" xfId="8941"/>
    <cellStyle name="链接单元格 11 2 2" xfId="8942"/>
    <cellStyle name="60% - 强调文字颜色 5 10 2 2 2 2" xfId="8943"/>
    <cellStyle name="链接单元格 11 2 2 2" xfId="8944"/>
    <cellStyle name="60% - 强调文字颜色 5 10 2 2 3" xfId="8945"/>
    <cellStyle name="好 10 2 2 2 2" xfId="8946"/>
    <cellStyle name="链接单元格 11 2 3" xfId="8947"/>
    <cellStyle name="60% - 强调文字颜色 5 10 2 3" xfId="8948"/>
    <cellStyle name="60% - 强调文字颜色 6 6 12" xfId="8949"/>
    <cellStyle name="链接单元格 11 3" xfId="8950"/>
    <cellStyle name="60% - 强调文字颜色 5 10 2 3 2" xfId="8951"/>
    <cellStyle name="链接单元格 11 3 2" xfId="8952"/>
    <cellStyle name="60% - 强调文字颜色 5 10 2 4" xfId="8953"/>
    <cellStyle name="链接单元格 11 4" xfId="8954"/>
    <cellStyle name="输入 2 3 2 2" xfId="8955"/>
    <cellStyle name="60% - 强调文字颜色 5 10 2 5" xfId="8956"/>
    <cellStyle name="链接单元格 11 5" xfId="8957"/>
    <cellStyle name="60% - 强调文字颜色 5 10 3" xfId="8958"/>
    <cellStyle name="链接单元格 12" xfId="8959"/>
    <cellStyle name="60% - 强调文字颜色 5 10 3 2" xfId="8960"/>
    <cellStyle name="链接单元格 12 2" xfId="8961"/>
    <cellStyle name="60% - 强调文字颜色 5 10 3 2 2" xfId="8962"/>
    <cellStyle name="链接单元格 12 2 2" xfId="8963"/>
    <cellStyle name="60% - 强调文字颜色 5 10 3 2 2 2" xfId="8964"/>
    <cellStyle name="链接单元格 12 2 2 2" xfId="8965"/>
    <cellStyle name="60% - 强调文字颜色 5 10 3 2 3" xfId="8966"/>
    <cellStyle name="链接单元格 12 2 3" xfId="8967"/>
    <cellStyle name="60% - 强调文字颜色 5 10 3 3" xfId="8968"/>
    <cellStyle name="链接单元格 12 3" xfId="8969"/>
    <cellStyle name="60% - 强调文字颜色 5 10 3 3 2" xfId="8970"/>
    <cellStyle name="链接单元格 12 3 2" xfId="8971"/>
    <cellStyle name="60% - 强调文字颜色 5 10 3 4" xfId="8972"/>
    <cellStyle name="链接单元格 12 4" xfId="8973"/>
    <cellStyle name="输入 2 3 3 2" xfId="8974"/>
    <cellStyle name="60% - 强调文字颜色 5 10 4" xfId="8975"/>
    <cellStyle name="链接单元格 13" xfId="8976"/>
    <cellStyle name="60% - 强调文字颜色 5 10 4 2" xfId="8977"/>
    <cellStyle name="链接单元格 13 2" xfId="8978"/>
    <cellStyle name="60% - 强调文字颜色 5 10 4 2 2" xfId="8979"/>
    <cellStyle name="链接单元格 13 2 2" xfId="8980"/>
    <cellStyle name="60% - 强调文字颜色 5 10 4 3" xfId="8981"/>
    <cellStyle name="链接单元格 13 3" xfId="8982"/>
    <cellStyle name="60% - 强调文字颜色 5 10 5" xfId="8983"/>
    <cellStyle name="链接单元格 14" xfId="8984"/>
    <cellStyle name="60% - 强调文字颜色 5 10 5 2" xfId="8985"/>
    <cellStyle name="链接单元格 14 2" xfId="8986"/>
    <cellStyle name="60% - 强调文字颜色 5 10 6" xfId="8987"/>
    <cellStyle name="链接单元格 15" xfId="8988"/>
    <cellStyle name="60% - 强调文字颜色 5 10 6 2" xfId="8989"/>
    <cellStyle name="链接单元格 15 2" xfId="8990"/>
    <cellStyle name="60% - 强调文字颜色 5 10 7" xfId="8991"/>
    <cellStyle name="链接单元格 16" xfId="8992"/>
    <cellStyle name="60% - 强调文字颜色 5 10 8" xfId="8993"/>
    <cellStyle name="链接单元格 17" xfId="8994"/>
    <cellStyle name="60% - 强调文字颜色 5 10 9" xfId="8995"/>
    <cellStyle name="60% - 强调文字颜色 5 11" xfId="8996"/>
    <cellStyle name="60% - 强调文字颜色 5 11 10" xfId="8997"/>
    <cellStyle name="链接单元格 9 5" xfId="8998"/>
    <cellStyle name="60% - 强调文字颜色 5 11 12" xfId="8999"/>
    <cellStyle name="链接单元格 9 7" xfId="9000"/>
    <cellStyle name="60% - 强调文字颜色 5 11 2" xfId="9001"/>
    <cellStyle name="60% - 强调文字颜色 5 11 3" xfId="9002"/>
    <cellStyle name="60% - 强调文字颜色 5 11 4" xfId="9003"/>
    <cellStyle name="60% - 强调文字颜色 5 11 5" xfId="9004"/>
    <cellStyle name="60% - 强调文字颜色 5 11 6" xfId="9005"/>
    <cellStyle name="60% - 强调文字颜色 5 11 7" xfId="9006"/>
    <cellStyle name="60% - 强调文字颜色 5 11 8" xfId="9007"/>
    <cellStyle name="60% - 强调文字颜色 5 11 9" xfId="9008"/>
    <cellStyle name="60% - 强调文字颜色 5 12" xfId="9009"/>
    <cellStyle name="60% - 强调文字颜色 5 7 3 3 2" xfId="9010"/>
    <cellStyle name="60% - 强调文字颜色 5 12 10" xfId="9011"/>
    <cellStyle name="60% - 强调文字颜色 5 12 11" xfId="9012"/>
    <cellStyle name="差_12账龄分析 3 2 2" xfId="9013"/>
    <cellStyle name="60% - 强调文字颜色 5 12 12" xfId="9014"/>
    <cellStyle name="60% - 强调文字颜色 5 12 2" xfId="9015"/>
    <cellStyle name="60% - 强调文字颜色 5 12 3" xfId="9016"/>
    <cellStyle name="强调文字颜色 6 10" xfId="9017"/>
    <cellStyle name="60% - 强调文字颜色 5 12 4" xfId="9018"/>
    <cellStyle name="强调文字颜色 6 11" xfId="9019"/>
    <cellStyle name="60% - 强调文字颜色 5 12 5" xfId="9020"/>
    <cellStyle name="强调文字颜色 6 12" xfId="9021"/>
    <cellStyle name="60% - 强调文字颜色 5 12 6" xfId="9022"/>
    <cellStyle name="强调文字颜色 6 13" xfId="9023"/>
    <cellStyle name="60% - 强调文字颜色 5 12 7" xfId="9024"/>
    <cellStyle name="Header2 4 2 10 2" xfId="9025"/>
    <cellStyle name="强调文字颜色 6 14" xfId="9026"/>
    <cellStyle name="强调文字颜色 6 6 3 2 2" xfId="9027"/>
    <cellStyle name="60% - 强调文字颜色 5 12 8" xfId="9028"/>
    <cellStyle name="强调文字颜色 6 15" xfId="9029"/>
    <cellStyle name="60% - 强调文字颜色 5 12 9" xfId="9030"/>
    <cellStyle name="强调文字颜色 6 16" xfId="9031"/>
    <cellStyle name="60% - 强调文字颜色 5 13" xfId="9032"/>
    <cellStyle name="60% - 强调文字颜色 5 13 10" xfId="9033"/>
    <cellStyle name="60% - 强调文字颜色 5 13 12" xfId="9034"/>
    <cellStyle name="60% - 强调文字颜色 5 13 13" xfId="9035"/>
    <cellStyle name="60% - 强调文字颜色 5 13 2" xfId="9036"/>
    <cellStyle name="60% - 强调文字颜色 5 13 3" xfId="9037"/>
    <cellStyle name="60% - 强调文字颜色 5 13 4" xfId="9038"/>
    <cellStyle name="汇总 12 10" xfId="9039"/>
    <cellStyle name="60% - 强调文字颜色 5 13 5" xfId="9040"/>
    <cellStyle name="汇总 12 11" xfId="9041"/>
    <cellStyle name="60% - 强调文字颜色 5 13 6" xfId="9042"/>
    <cellStyle name="汇总 12 12" xfId="9043"/>
    <cellStyle name="60% - 强调文字颜色 5 13 7" xfId="9044"/>
    <cellStyle name="汇总 12 13" xfId="9045"/>
    <cellStyle name="60% - 强调文字颜色 5 13 7 2" xfId="9046"/>
    <cellStyle name="60% - 强调文字颜色 5 13 8" xfId="9047"/>
    <cellStyle name="60% - 强调文字颜色 5 13 9" xfId="9048"/>
    <cellStyle name="60% - 强调文字颜色 5 14" xfId="9049"/>
    <cellStyle name="60% - 强调文字颜色 5 14 2" xfId="9050"/>
    <cellStyle name="60% - 强调文字颜色 5 14 3" xfId="9051"/>
    <cellStyle name="60% - 强调文字颜色 5 14 4" xfId="9052"/>
    <cellStyle name="60% - 强调文字颜色 5 15" xfId="9053"/>
    <cellStyle name="60% - 强调文字颜色 5 15 2" xfId="9054"/>
    <cellStyle name="60% - 强调文字颜色 5 15 3" xfId="9055"/>
    <cellStyle name="60% - 强调文字颜色 5 16" xfId="9056"/>
    <cellStyle name="注释 19 10" xfId="9057"/>
    <cellStyle name="60% - 强调文字颜色 5 16 2" xfId="9058"/>
    <cellStyle name="60% - 强调文字颜色 5 17" xfId="9059"/>
    <cellStyle name="注释 19 11" xfId="9060"/>
    <cellStyle name="60% - 强调文字颜色 5 2 10" xfId="9061"/>
    <cellStyle name="强调文字颜色 4 17" xfId="9062"/>
    <cellStyle name="60% - 强调文字颜色 5 2 11" xfId="9063"/>
    <cellStyle name="60% - 强调文字颜色 5 2 12" xfId="9064"/>
    <cellStyle name="60% - 强调文字颜色 5 2 2" xfId="9065"/>
    <cellStyle name="60% - 强调文字颜色 5 2 2 2" xfId="9066"/>
    <cellStyle name="60% - 强调文字颜色 5 2 2 2 2" xfId="9067"/>
    <cellStyle name="60% - 强调文字颜色 5 2 2 2 2 2" xfId="9068"/>
    <cellStyle name="60% - 强调文字颜色 5 2 2 2 2 2 2" xfId="9069"/>
    <cellStyle name="60% - 强调文字颜色 5 2 2 2 2 3" xfId="9070"/>
    <cellStyle name="60% - 强调文字颜色 5 2 2 2 2 3 2" xfId="9071"/>
    <cellStyle name="60% - 强调文字颜色 5 2 2 2 2 4" xfId="9072"/>
    <cellStyle name="60% - 强调文字颜色 5 2 2 2 3" xfId="9073"/>
    <cellStyle name="60% - 强调文字颜色 5 2 2 2 3 2" xfId="9074"/>
    <cellStyle name="60% - 强调文字颜色 5 2 2 3" xfId="9075"/>
    <cellStyle name="60% - 强调文字颜色 5 2 2 3 2" xfId="9076"/>
    <cellStyle name="60% - 强调文字颜色 5 2 2 3 2 2" xfId="9077"/>
    <cellStyle name="60% - 强调文字颜色 5 2 2 3 3" xfId="9078"/>
    <cellStyle name="60% - 强调文字颜色 5 2 2 4" xfId="9079"/>
    <cellStyle name="60% - 强调文字颜色 5 2 2 4 2" xfId="9080"/>
    <cellStyle name="60% - 强调文字颜色 5 2 2 5" xfId="9081"/>
    <cellStyle name="60% - 强调文字颜色 5 2 3" xfId="9082"/>
    <cellStyle name="60% - 强调文字颜色 5 2 3 2" xfId="9083"/>
    <cellStyle name="计算 8 2 3" xfId="9084"/>
    <cellStyle name="60% - 强调文字颜色 5 2 3 2 2" xfId="9085"/>
    <cellStyle name="计算 8 2 3 2" xfId="9086"/>
    <cellStyle name="60% - 强调文字颜色 5 2 3 2 2 2" xfId="9087"/>
    <cellStyle name="60% - 强调文字颜色 5 2 3 2 3" xfId="9088"/>
    <cellStyle name="60% - 强调文字颜色 5 2 3 3" xfId="9089"/>
    <cellStyle name="计算 8 2 4" xfId="9090"/>
    <cellStyle name="60% - 强调文字颜色 5 2 3 3 2" xfId="9091"/>
    <cellStyle name="60% - 强调文字颜色 5 2 3 4" xfId="9092"/>
    <cellStyle name="计算 8 2 5" xfId="9093"/>
    <cellStyle name="60% - 强调文字颜色 5 2 4 2 3" xfId="9094"/>
    <cellStyle name="60% - 强调文字颜色 5 2 4 3 2" xfId="9095"/>
    <cellStyle name="60% - 强调文字颜色 5 2 4 4" xfId="9096"/>
    <cellStyle name="计算 8 3 5" xfId="9097"/>
    <cellStyle name="60% - 强调文字颜色 5 2 5 2 2" xfId="9098"/>
    <cellStyle name="60% - 强调文字颜色 5 2 5 3" xfId="9099"/>
    <cellStyle name="计算 8 4 4" xfId="9100"/>
    <cellStyle name="60% - 强调文字颜色 5 2 6 2" xfId="9101"/>
    <cellStyle name="计算 8 5 3" xfId="9102"/>
    <cellStyle name="60% - 强调文字颜色 5 2 7" xfId="9103"/>
    <cellStyle name="60% - 强调文字颜色 5 2 7 2" xfId="9104"/>
    <cellStyle name="计算 8 6 3" xfId="9105"/>
    <cellStyle name="60% - 强调文字颜色 5 2 8" xfId="9106"/>
    <cellStyle name="60% - 强调文字颜色 5 2 9" xfId="9107"/>
    <cellStyle name="60% - 强调文字颜色 5 3" xfId="9108"/>
    <cellStyle name="60% - 强调文字颜色 5 3 10" xfId="9109"/>
    <cellStyle name="强调文字颜色 5 17" xfId="9110"/>
    <cellStyle name="60% - 强调文字颜色 5 3 11" xfId="9111"/>
    <cellStyle name="60% - 强调文字颜色 5 3 12" xfId="9112"/>
    <cellStyle name="60% - 强调文字颜色 5 3 2" xfId="9113"/>
    <cellStyle name="60% - 强调文字颜色 5 3 2 2 2 2" xfId="9114"/>
    <cellStyle name="输入 3 15" xfId="9115"/>
    <cellStyle name="60% - 强调文字颜色 5 3 2 2 3" xfId="9116"/>
    <cellStyle name="60% - 强调文字颜色 5 3 2 3 2" xfId="9117"/>
    <cellStyle name="60% - 强调文字颜色 5 3 2 4" xfId="9118"/>
    <cellStyle name="60% - 强调文字颜色 5 3 2 5" xfId="9119"/>
    <cellStyle name="60% - 强调文字颜色 5 3 3" xfId="9120"/>
    <cellStyle name="60% - 强调文字颜色 5 3 3 2" xfId="9121"/>
    <cellStyle name="计算 9 2 3" xfId="9122"/>
    <cellStyle name="输出 8 9" xfId="9123"/>
    <cellStyle name="60% - 强调文字颜色 5 3 3 2 2 2" xfId="9124"/>
    <cellStyle name="60% - 强调文字颜色 5 3 3 3" xfId="9125"/>
    <cellStyle name="计算 9 2 4" xfId="9126"/>
    <cellStyle name="60% - 强调文字颜色 5 3 3 3 2" xfId="9127"/>
    <cellStyle name="60% - 强调文字颜色 5 3 3 4" xfId="9128"/>
    <cellStyle name="计算 9 2 5" xfId="9129"/>
    <cellStyle name="60% - 强调文字颜色 5 3 4 3" xfId="9130"/>
    <cellStyle name="计算 9 3 4" xfId="9131"/>
    <cellStyle name="60% - 强调文字颜色 5 3 5 2" xfId="9132"/>
    <cellStyle name="计算 9 4 3" xfId="9133"/>
    <cellStyle name="60% - 强调文字颜色 5 3 6" xfId="9134"/>
    <cellStyle name="60% - 强调文字颜色 5 3 6 2" xfId="9135"/>
    <cellStyle name="计算 9 5 3" xfId="9136"/>
    <cellStyle name="60% - 强调文字颜色 5 3 7" xfId="9137"/>
    <cellStyle name="注释 19 2 2" xfId="9138"/>
    <cellStyle name="60% - 强调文字颜色 5 3 8" xfId="9139"/>
    <cellStyle name="注释 19 2 3" xfId="9140"/>
    <cellStyle name="60% - 强调文字颜色 5 3 9" xfId="9141"/>
    <cellStyle name="Calc Percent (1)" xfId="9142"/>
    <cellStyle name="60% - 强调文字颜色 5 4" xfId="9143"/>
    <cellStyle name="60% - 强调文字颜色 5 4 10" xfId="9144"/>
    <cellStyle name="强调文字颜色 6 17" xfId="9145"/>
    <cellStyle name="60% - 强调文字颜色 5 4 12" xfId="9146"/>
    <cellStyle name="60% - 强调文字颜色 5 4 2" xfId="9147"/>
    <cellStyle name="标题 3 3 2 5" xfId="9148"/>
    <cellStyle name="60% - 强调文字颜色 5 4 2 2" xfId="9149"/>
    <cellStyle name="60% - 强调文字颜色 5 4 2 2 2" xfId="9150"/>
    <cellStyle name="60% - 强调文字颜色 5 4 2 2 2 2" xfId="9151"/>
    <cellStyle name="60% - 强调文字颜色 5 4 2 2 3" xfId="9152"/>
    <cellStyle name="60% - 强调文字颜色 5 4 2 3" xfId="9153"/>
    <cellStyle name="60% - 强调文字颜色 5 4 2 3 2" xfId="9154"/>
    <cellStyle name="60% - 强调文字颜色 5 4 3" xfId="9155"/>
    <cellStyle name="60% - 强调文字颜色 5 4 3 2" xfId="9156"/>
    <cellStyle name="60% - 强调文字颜色 5 4 3 2 2" xfId="9157"/>
    <cellStyle name="60% - 强调文字颜色 5 4 3 2 2 2" xfId="9158"/>
    <cellStyle name="60% - 强调文字颜色 5 4 3 2 3" xfId="9159"/>
    <cellStyle name="60% - 强调文字颜色 5 4 3 3" xfId="9160"/>
    <cellStyle name="60% - 强调文字颜色 5 4 3 3 2" xfId="9161"/>
    <cellStyle name="60% - 强调文字颜色 5 4 4 2" xfId="9162"/>
    <cellStyle name="60% - 强调文字颜色 5 4 4 2 2" xfId="9163"/>
    <cellStyle name="60% - 强调文字颜色 5 4 4 3" xfId="9164"/>
    <cellStyle name="60% - 强调文字颜色 5 4 5" xfId="9165"/>
    <cellStyle name="60% - 强调文字颜色 5 4 5 2" xfId="9166"/>
    <cellStyle name="60% - 强调文字颜色 5 4 6" xfId="9167"/>
    <cellStyle name="60% - 强调文字颜色 5 4 6 2" xfId="9168"/>
    <cellStyle name="60% - 强调文字颜色 5 4 7" xfId="9169"/>
    <cellStyle name="注释 19 3 2" xfId="9170"/>
    <cellStyle name="60% - 强调文字颜色 5 4 8" xfId="9171"/>
    <cellStyle name="注释 19 3 3" xfId="9172"/>
    <cellStyle name="60% - 强调文字颜色 5 4 9" xfId="9173"/>
    <cellStyle name="60% - 强调文字颜色 5 5" xfId="9174"/>
    <cellStyle name="强调文字颜色 5 11 3 2 2" xfId="9175"/>
    <cellStyle name="60% - 强调文字颜色 5 5 10" xfId="9176"/>
    <cellStyle name="60% - 强调文字颜色 5 5 11" xfId="9177"/>
    <cellStyle name="60% - 强调文字颜色 5 5 12" xfId="9178"/>
    <cellStyle name="60% - 强调文字颜色 5 5 2" xfId="9179"/>
    <cellStyle name="60% - 强调文字颜色 5 5 2 2" xfId="9180"/>
    <cellStyle name="60% - 强调文字颜色 5 5 2 2 2" xfId="9181"/>
    <cellStyle name="60% - 强调文字颜色 5 5 2 2 2 2" xfId="9182"/>
    <cellStyle name="60% - 强调文字颜色 5 5 2 2 3" xfId="9183"/>
    <cellStyle name="60% - 强调文字颜色 5 5 2 3" xfId="9184"/>
    <cellStyle name="60% - 强调文字颜色 5 5 2 3 2" xfId="9185"/>
    <cellStyle name="60% - 强调文字颜色 5 5 3" xfId="9186"/>
    <cellStyle name="60% - 强调文字颜色 5 5 3 2" xfId="9187"/>
    <cellStyle name="60% - 强调文字颜色 5 5 3 2 2" xfId="9188"/>
    <cellStyle name="60% - 强调文字颜色 5 5 3 2 2 2" xfId="9189"/>
    <cellStyle name="60% - 强调文字颜色 5 5 3 3" xfId="9190"/>
    <cellStyle name="60% - 强调文字颜色 5 5 3 3 2" xfId="9191"/>
    <cellStyle name="60% - 强调文字颜色 5 5 4 2" xfId="9192"/>
    <cellStyle name="计算 4 10" xfId="9193"/>
    <cellStyle name="60% - 强调文字颜色 5 5 4 2 2" xfId="9194"/>
    <cellStyle name="60% - 强调文字颜色 5 5 4 3" xfId="9195"/>
    <cellStyle name="计算 4 11" xfId="9196"/>
    <cellStyle name="60% - 强调文字颜色 5 5 5" xfId="9197"/>
    <cellStyle name="Header2 2 10 2" xfId="9198"/>
    <cellStyle name="60% - 强调文字颜色 5 5 5 2" xfId="9199"/>
    <cellStyle name="60% - 强调文字颜色 5 5 6" xfId="9200"/>
    <cellStyle name="60% - 强调文字颜色 5 5 6 2" xfId="9201"/>
    <cellStyle name="60% - 强调文字颜色 5 5 7" xfId="9202"/>
    <cellStyle name="注释 19 4 2" xfId="9203"/>
    <cellStyle name="60% - 强调文字颜色 5 5 8" xfId="9204"/>
    <cellStyle name="60% - 强调文字颜色 5 5 9" xfId="9205"/>
    <cellStyle name="标题 2 4 3 2 2" xfId="9206"/>
    <cellStyle name="60% - 强调文字颜色 5 6" xfId="9207"/>
    <cellStyle name="60% - 强调文字颜色 5 6 10" xfId="9208"/>
    <cellStyle name="好 11 4 2" xfId="9209"/>
    <cellStyle name="60% - 强调文字颜色 5 6 11" xfId="9210"/>
    <cellStyle name="60% - 强调文字颜色 5 6 2" xfId="9211"/>
    <cellStyle name="60% - 强调文字颜色 5 6 2 2" xfId="9212"/>
    <cellStyle name="60% - 强调文字颜色 5 6 2 2 2" xfId="9213"/>
    <cellStyle name="60% - 强调文字颜色 5 6 2 2 2 2" xfId="9214"/>
    <cellStyle name="标题 3 15" xfId="9215"/>
    <cellStyle name="60% - 强调文字颜色 5 6 2 2 3" xfId="9216"/>
    <cellStyle name="60% - 强调文字颜色 5 6 2 3" xfId="9217"/>
    <cellStyle name="60% - 强调文字颜色 5 6 2 3 2" xfId="9218"/>
    <cellStyle name="60% - 强调文字颜色 5 6 2 5" xfId="9219"/>
    <cellStyle name="60% - 强调文字颜色 5 6 3" xfId="9220"/>
    <cellStyle name="60% - 强调文字颜色 5 6 3 2 2" xfId="9221"/>
    <cellStyle name="60% - 强调文字颜色 5 6 3 2 2 2" xfId="9222"/>
    <cellStyle name="60% - 强调文字颜色 5 6 3 3 2" xfId="9223"/>
    <cellStyle name="60% - 强调文字颜色 5 6 4" xfId="9224"/>
    <cellStyle name="注释 16 3 2 2" xfId="9225"/>
    <cellStyle name="注释 21 3 2 2" xfId="9226"/>
    <cellStyle name="60% - 强调文字颜色 5 6 4 2" xfId="9227"/>
    <cellStyle name="计算 9 10" xfId="9228"/>
    <cellStyle name="60% - 强调文字颜色 5 6 4 2 2" xfId="9229"/>
    <cellStyle name="60% - 强调文字颜色 5 6 4 3" xfId="9230"/>
    <cellStyle name="RowLevel_0" xfId="9231"/>
    <cellStyle name="计算 9 11" xfId="9232"/>
    <cellStyle name="60% - 强调文字颜色 5 6 5" xfId="9233"/>
    <cellStyle name="Header2 2 11 2" xfId="9234"/>
    <cellStyle name="60% - 强调文字颜色 5 6 5 2" xfId="9235"/>
    <cellStyle name="60% - 强调文字颜色 5 7" xfId="9236"/>
    <cellStyle name="60% - 强调文字颜色 5 7 10" xfId="9237"/>
    <cellStyle name="60% - 强调文字颜色 5 7 11" xfId="9238"/>
    <cellStyle name="60% - 强调文字颜色 5 7 2" xfId="9239"/>
    <cellStyle name="60% - 强调文字颜色 5 7 2 2" xfId="9240"/>
    <cellStyle name="60% - 强调文字颜色 5 7 2 2 2" xfId="9241"/>
    <cellStyle name="60% - 强调文字颜色 5 7 2 2 2 2" xfId="9242"/>
    <cellStyle name="警告文本 13 2 4" xfId="9243"/>
    <cellStyle name="60% - 强调文字颜色 5 7 2 2 3" xfId="9244"/>
    <cellStyle name="60% - 强调文字颜色 5 7 2 3" xfId="9245"/>
    <cellStyle name="60% - 强调文字颜色 5 7 2 3 2" xfId="9246"/>
    <cellStyle name="60% - 强调文字颜色 5 7 2 4" xfId="9247"/>
    <cellStyle name="60% - 强调文字颜色 5 7 2 5" xfId="9248"/>
    <cellStyle name="60% - 强调文字颜色 5 7 3" xfId="9249"/>
    <cellStyle name="60% - 强调文字颜色 5 7 3 2 2" xfId="9250"/>
    <cellStyle name="60% - 强调文字颜色 5 7 3 2 2 2" xfId="9251"/>
    <cellStyle name="常规 2 2 12 3" xfId="9252"/>
    <cellStyle name="60% - 强调文字颜色 5 7 3 2 3" xfId="9253"/>
    <cellStyle name="60% - 强调文字颜色 5 7 3 3" xfId="9254"/>
    <cellStyle name="60% - 强调文字颜色 5 7 3 4" xfId="9255"/>
    <cellStyle name="好_黑猫焦化附注" xfId="9256"/>
    <cellStyle name="60% - 强调文字颜色 5 7 4" xfId="9257"/>
    <cellStyle name="60% - 强调文字颜色 5 7 4 2" xfId="9258"/>
    <cellStyle name="60% - 强调文字颜色 5 7 4 2 2" xfId="9259"/>
    <cellStyle name="60% - 强调文字颜色 5 7 4 3" xfId="9260"/>
    <cellStyle name="60% - 强调文字颜色 5 7 5" xfId="9261"/>
    <cellStyle name="Header2 2 12 2" xfId="9262"/>
    <cellStyle name="60% - 强调文字颜色 5 7 5 2" xfId="9263"/>
    <cellStyle name="60% - 强调文字颜色 5 7 9" xfId="9264"/>
    <cellStyle name="60% - 强调文字颜色 5 8" xfId="9265"/>
    <cellStyle name="60% - 强调文字颜色 5 8 10" xfId="9266"/>
    <cellStyle name="60% - 强调文字颜色 5 8 11" xfId="9267"/>
    <cellStyle name="60% - 强调文字颜色 5 8 12" xfId="9268"/>
    <cellStyle name="60% - 强调文字颜色 5 8 2" xfId="9269"/>
    <cellStyle name="60% - 强调文字颜色 5 8 2 2" xfId="9270"/>
    <cellStyle name="60% - 强调文字颜色 5 8 2 2 2 2" xfId="9271"/>
    <cellStyle name="60% - 强调文字颜色 5 8 2 2 3" xfId="9272"/>
    <cellStyle name="60% - 强调文字颜色 5 8 2 3" xfId="9273"/>
    <cellStyle name="60% - 强调文字颜色 5 8 2 3 2" xfId="9274"/>
    <cellStyle name="60% - 强调文字颜色 5 8 2 4" xfId="9275"/>
    <cellStyle name="60% - 强调文字颜色 5 8 2 5" xfId="9276"/>
    <cellStyle name="60% - 强调文字颜色 5 8 3" xfId="9277"/>
    <cellStyle name="60% - 强调文字颜色 5 8 3 2" xfId="9278"/>
    <cellStyle name="60% - 强调文字颜色 5 8 3 2 2 2" xfId="9279"/>
    <cellStyle name="60% - 强调文字颜色 5 8 3 3" xfId="9280"/>
    <cellStyle name="60% - 强调文字颜色 5 8 3 3 2" xfId="9281"/>
    <cellStyle name="60% - 强调文字颜色 5 8 3 4" xfId="9282"/>
    <cellStyle name="60% - 强调文字颜色 5 8 4" xfId="9283"/>
    <cellStyle name="60% - 强调文字颜色 5 8 4 2" xfId="9284"/>
    <cellStyle name="60% - 强调文字颜色 5 8 4 3" xfId="9285"/>
    <cellStyle name="60% - 强调文字颜色 5 8 5" xfId="9286"/>
    <cellStyle name="60% - 强调文字颜色 5 8 5 2" xfId="9287"/>
    <cellStyle name="Header1 3" xfId="9288"/>
    <cellStyle name="60% - 强调文字颜色 5 8 8" xfId="9289"/>
    <cellStyle name="60% - 强调文字颜色 5 8 9" xfId="9290"/>
    <cellStyle name="60% - 强调文字颜色 5 9" xfId="9291"/>
    <cellStyle name="60% - 强调文字颜色 5 9 10" xfId="9292"/>
    <cellStyle name="60% - 强调文字颜色 5 9 11" xfId="9293"/>
    <cellStyle name="60% - 强调文字颜色 5 9 12" xfId="9294"/>
    <cellStyle name="60% - 强调文字颜色 5 9 2" xfId="9295"/>
    <cellStyle name="60% - 强调文字颜色 5 9 2 2" xfId="9296"/>
    <cellStyle name="60% - 强调文字颜色 5 9 2 2 2 2" xfId="9297"/>
    <cellStyle name="60% - 强调文字颜色 5 9 2 3" xfId="9298"/>
    <cellStyle name="60% - 强调文字颜色 5 9 2 4" xfId="9299"/>
    <cellStyle name="60% - 强调文字颜色 5 9 2 5" xfId="9300"/>
    <cellStyle name="60% - 强调文字颜色 5 9 3" xfId="9301"/>
    <cellStyle name="60% - 强调文字颜色 5 9 3 2" xfId="9302"/>
    <cellStyle name="60% - 强调文字颜色 5 9 3 2 2 2" xfId="9303"/>
    <cellStyle name="60% - 强调文字颜色 5 9 3 3" xfId="9304"/>
    <cellStyle name="60% - 强调文字颜色 5 9 3 4" xfId="9305"/>
    <cellStyle name="60% - 强调文字颜色 5 9 4" xfId="9306"/>
    <cellStyle name="60% - 强调文字颜色 5 9 4 2" xfId="9307"/>
    <cellStyle name="60% - 强调文字颜色 5 9 4 3" xfId="9308"/>
    <cellStyle name="60% - 强调文字颜色 5 9 6 2" xfId="9309"/>
    <cellStyle name="60% - 强调文字颜色 5 9 7" xfId="9310"/>
    <cellStyle name="60% - 强调文字颜色 5 9 8" xfId="9311"/>
    <cellStyle name="60% - 强调文字颜色 5 9 9" xfId="9312"/>
    <cellStyle name="60% - 强调文字颜色 6 10" xfId="9313"/>
    <cellStyle name="60% - 强调文字颜色 6 10 10" xfId="9314"/>
    <cellStyle name="差 11 3 2" xfId="9315"/>
    <cellStyle name="60% - 强调文字颜色 6 10 2" xfId="9316"/>
    <cellStyle name="解释性文本 5 6" xfId="9317"/>
    <cellStyle name="60% - 强调文字颜色 6 10 2 2" xfId="9318"/>
    <cellStyle name="常规 2 2 8" xfId="9319"/>
    <cellStyle name="60% - 强调文字颜色 6 10 2 2 2" xfId="9320"/>
    <cellStyle name="常规 2 2 8 2" xfId="9321"/>
    <cellStyle name="60% - 强调文字颜色 6 10 2 2 2 2" xfId="9322"/>
    <cellStyle name="常规 2 2 8 2 2" xfId="9323"/>
    <cellStyle name="强调文字颜色 5 3 7" xfId="9324"/>
    <cellStyle name="输出 7 4" xfId="9325"/>
    <cellStyle name="60% - 强调文字颜色 6 10 2 2 3" xfId="9326"/>
    <cellStyle name="常规 2 2 8 3" xfId="9327"/>
    <cellStyle name="60% - 强调文字颜色 6 10 2 3 2" xfId="9328"/>
    <cellStyle name="常规 2 2 9 2" xfId="9329"/>
    <cellStyle name="60% - 强调文字颜色 6 10 2 4" xfId="9330"/>
    <cellStyle name="输入 7 3 2 2" xfId="9331"/>
    <cellStyle name="注释 4 2 2" xfId="9332"/>
    <cellStyle name="60% - 强调文字颜色 6 10 2 5" xfId="9333"/>
    <cellStyle name="注释 4 2 3" xfId="9334"/>
    <cellStyle name="60% - 强调文字颜色 6 10 3" xfId="9335"/>
    <cellStyle name="解释性文本 5 7" xfId="9336"/>
    <cellStyle name="60% - 强调文字颜色 6 10 3 2" xfId="9337"/>
    <cellStyle name="常规 2 3 8" xfId="9338"/>
    <cellStyle name="60% - 强调文字颜色 6 10 3 3" xfId="9339"/>
    <cellStyle name="常规 2 3 9" xfId="9340"/>
    <cellStyle name="60% - 强调文字颜色 6 10 3 4" xfId="9341"/>
    <cellStyle name="注释 4 3 2" xfId="9342"/>
    <cellStyle name="60% - 强调文字颜色 6 10 4" xfId="9343"/>
    <cellStyle name="60% - 强调文字颜色 6 10 4 2" xfId="9344"/>
    <cellStyle name="常规 2 4 8" xfId="9345"/>
    <cellStyle name="60% - 强调文字颜色 6 10 4 2 2" xfId="9346"/>
    <cellStyle name="60% - 强调文字颜色 6 10 4 3" xfId="9347"/>
    <cellStyle name="常规 2 4 9" xfId="9348"/>
    <cellStyle name="60% - 强调文字颜色 6 10 5" xfId="9349"/>
    <cellStyle name="60% - 强调文字颜色 6 10 5 2" xfId="9350"/>
    <cellStyle name="常规 2 5 8" xfId="9351"/>
    <cellStyle name="60% - 强调文字颜色 6 10 6 2" xfId="9352"/>
    <cellStyle name="60% - 强调文字颜色 6 10 7" xfId="9353"/>
    <cellStyle name="60% - 强调文字颜色 6 10 8" xfId="9354"/>
    <cellStyle name="60% - 强调文字颜色 6 10 9" xfId="9355"/>
    <cellStyle name="60% - 强调文字颜色 6 11" xfId="9356"/>
    <cellStyle name="60% - 强调文字颜色 6 11 10" xfId="9357"/>
    <cellStyle name="60% - 强调文字颜色 6 11 12" xfId="9358"/>
    <cellStyle name="60% - 强调文字颜色 6 11 2" xfId="9359"/>
    <cellStyle name="解释性文本 6 6" xfId="9360"/>
    <cellStyle name="60% - 强调文字颜色 6 11 2 2" xfId="9361"/>
    <cellStyle name="常规 3 2 8" xfId="9362"/>
    <cellStyle name="60% - 强调文字颜色 6 11 2 2 2" xfId="9363"/>
    <cellStyle name="60% - 强调文字颜色 6 11 2 2 2 2" xfId="9364"/>
    <cellStyle name="60% - 强调文字颜色 6 11 2 2 3" xfId="9365"/>
    <cellStyle name="60% - 强调文字颜色 6 11 2 3" xfId="9366"/>
    <cellStyle name="常规 3 2 9" xfId="9367"/>
    <cellStyle name="60% - 强调文字颜色 6 11 2 3 2" xfId="9368"/>
    <cellStyle name="60% - 强调文字颜色 6 11 2 4" xfId="9369"/>
    <cellStyle name="注释 5 2 2" xfId="9370"/>
    <cellStyle name="60% - 强调文字颜色 6 11 2 5" xfId="9371"/>
    <cellStyle name="注释 5 2 3" xfId="9372"/>
    <cellStyle name="60% - 强调文字颜色 6 11 3" xfId="9373"/>
    <cellStyle name="解释性文本 6 7" xfId="9374"/>
    <cellStyle name="60% - 强调文字颜色 6 11 3 2" xfId="9375"/>
    <cellStyle name="常规 3 3 8" xfId="9376"/>
    <cellStyle name="60% - 强调文字颜色 6 11 3 2 2" xfId="9377"/>
    <cellStyle name="60% - 强调文字颜色 6 11 3 2 2 2" xfId="9378"/>
    <cellStyle name="60% - 强调文字颜色 6 11 3 2 3" xfId="9379"/>
    <cellStyle name="输入 12 2" xfId="9380"/>
    <cellStyle name="60% - 强调文字颜色 6 11 3 3" xfId="9381"/>
    <cellStyle name="常规 3 3 9" xfId="9382"/>
    <cellStyle name="60% - 强调文字颜色 6 11 3 3 2" xfId="9383"/>
    <cellStyle name="60% - 强调文字颜色 6 11 3 4" xfId="9384"/>
    <cellStyle name="注释 5 3 2" xfId="9385"/>
    <cellStyle name="60% - 强调文字颜色 6 11 4" xfId="9386"/>
    <cellStyle name="60% - 强调文字颜色 6 11 4 2" xfId="9387"/>
    <cellStyle name="60% - 强调文字颜色 6 11 4 2 2" xfId="9388"/>
    <cellStyle name="60% - 强调文字颜色 6 11 4 3" xfId="9389"/>
    <cellStyle name="60% - 强调文字颜色 6 3 2 2 2" xfId="9390"/>
    <cellStyle name="60% - 强调文字颜色 6 11 5" xfId="9391"/>
    <cellStyle name="60% - 强调文字颜色 6 11 5 2" xfId="9392"/>
    <cellStyle name="60% - 强调文字颜色 6 11 6" xfId="9393"/>
    <cellStyle name="60% - 强调文字颜色 6 11 6 2" xfId="9394"/>
    <cellStyle name="60% - 强调文字颜色 6 11 7" xfId="9395"/>
    <cellStyle name="60% - 强调文字颜色 6 11 8" xfId="9396"/>
    <cellStyle name="60% - 强调文字颜色 6 11 9" xfId="9397"/>
    <cellStyle name="60% - 强调文字颜色 6 12" xfId="9398"/>
    <cellStyle name="60% - 强调文字颜色 6 12 10" xfId="9399"/>
    <cellStyle name="60% - 强调文字颜色 6 12 11" xfId="9400"/>
    <cellStyle name="60% - 强调文字颜色 6 12 12" xfId="9401"/>
    <cellStyle name="60% - 强调文字颜色 6 12 2" xfId="9402"/>
    <cellStyle name="解释性文本 7 6" xfId="9403"/>
    <cellStyle name="60% - 强调文字颜色 6 12 2 2" xfId="9404"/>
    <cellStyle name="常规 4 2 8" xfId="9405"/>
    <cellStyle name="60% - 强调文字颜色 6 12 2 3" xfId="9406"/>
    <cellStyle name="常规 4 2 9" xfId="9407"/>
    <cellStyle name="60% - 强调文字颜色 6 12 2 4" xfId="9408"/>
    <cellStyle name="注释 6 2 2" xfId="9409"/>
    <cellStyle name="60% - 强调文字颜色 6 12 2 5" xfId="9410"/>
    <cellStyle name="注释 6 2 3" xfId="9411"/>
    <cellStyle name="60% - 强调文字颜色 6 12 3" xfId="9412"/>
    <cellStyle name="百分比 5 2 2" xfId="9413"/>
    <cellStyle name="解释性文本 7 7" xfId="9414"/>
    <cellStyle name="60% - 强调文字颜色 6 12 3 2 2" xfId="9415"/>
    <cellStyle name="百分比 5 2 2 2 2" xfId="9416"/>
    <cellStyle name="60% - 强调文字颜色 6 12 3 2 2 2" xfId="9417"/>
    <cellStyle name="60% - 强调文字颜色 6 12 3 2 3" xfId="9418"/>
    <cellStyle name="60% - 强调文字颜色 6 12 3 3" xfId="9419"/>
    <cellStyle name="百分比 5 2 2 3" xfId="9420"/>
    <cellStyle name="常规 4 3 9" xfId="9421"/>
    <cellStyle name="60% - 强调文字颜色 6 12 3 3 2" xfId="9422"/>
    <cellStyle name="60% - 强调文字颜色 6 12 3 4" xfId="9423"/>
    <cellStyle name="注释 6 3 2" xfId="9424"/>
    <cellStyle name="60% - 强调文字颜色 6 12 4" xfId="9425"/>
    <cellStyle name="百分比 5 2 3" xfId="9426"/>
    <cellStyle name="60% - 强调文字颜色 6 12 4 2" xfId="9427"/>
    <cellStyle name="百分比 5 2 3 2" xfId="9428"/>
    <cellStyle name="60% - 强调文字颜色 6 12 4 2 2" xfId="9429"/>
    <cellStyle name="60% - 强调文字颜色 6 12 4 3" xfId="9430"/>
    <cellStyle name="60% - 强调文字颜色 6 3 3 2 2" xfId="9431"/>
    <cellStyle name="60% - 强调文字颜色 6 12 5" xfId="9432"/>
    <cellStyle name="百分比 5 2 4" xfId="9433"/>
    <cellStyle name="60% - 强调文字颜色 6 12 5 2" xfId="9434"/>
    <cellStyle name="60% - 强调文字颜色 6 12 6" xfId="9435"/>
    <cellStyle name="60% - 强调文字颜色 6 12 6 2" xfId="9436"/>
    <cellStyle name="输出 13 10" xfId="9437"/>
    <cellStyle name="60% - 强调文字颜色 6 12 7" xfId="9438"/>
    <cellStyle name="60% - 强调文字颜色 6 12 8" xfId="9439"/>
    <cellStyle name="60% - 强调文字颜色 6 12 9" xfId="9440"/>
    <cellStyle name="60% - 强调文字颜色 6 13" xfId="9441"/>
    <cellStyle name="60% - 强调文字颜色 6 13 10" xfId="9442"/>
    <cellStyle name="60% - 强调文字颜色 6 13 11" xfId="9443"/>
    <cellStyle name="60% - 强调文字颜色 6 13 12" xfId="9444"/>
    <cellStyle name="60% - 强调文字颜色 6 13 13" xfId="9445"/>
    <cellStyle name="60% - 强调文字颜色 6 13 2" xfId="9446"/>
    <cellStyle name="解释性文本 8 6" xfId="9447"/>
    <cellStyle name="60% - 强调文字颜色 6 13 2 2" xfId="9448"/>
    <cellStyle name="常规 5 2 8" xfId="9449"/>
    <cellStyle name="60% - 强调文字颜色 6 13 2 2 2" xfId="9450"/>
    <cellStyle name="输入 13 6 3" xfId="9451"/>
    <cellStyle name="60% - 强调文字颜色 6 13 2 2 2 2" xfId="9452"/>
    <cellStyle name="60% - 强调文字颜色 6 13 2 2 3" xfId="9453"/>
    <cellStyle name="输入 13 6 4" xfId="9454"/>
    <cellStyle name="60% - 强调文字颜色 6 13 2 3" xfId="9455"/>
    <cellStyle name="常规 5 2 9" xfId="9456"/>
    <cellStyle name="60% - 强调文字颜色 6 13 2 3 2" xfId="9457"/>
    <cellStyle name="60% - 强调文字颜色 6 13 2 4" xfId="9458"/>
    <cellStyle name="注释 7 2 2" xfId="9459"/>
    <cellStyle name="60% - 强调文字颜色 6 13 2 5" xfId="9460"/>
    <cellStyle name="注释 7 2 3" xfId="9461"/>
    <cellStyle name="60% - 强调文字颜色 6 13 3 2 2" xfId="9462"/>
    <cellStyle name="百分比 5 3 2 2 2" xfId="9463"/>
    <cellStyle name="60% - 强调文字颜色 6 13 3 2 3" xfId="9464"/>
    <cellStyle name="60% - 强调文字颜色 6 13 3 3" xfId="9465"/>
    <cellStyle name="百分比 5 3 2 3" xfId="9466"/>
    <cellStyle name="常规 5 3 9" xfId="9467"/>
    <cellStyle name="60% - 强调文字颜色 6 13 3 3 2" xfId="9468"/>
    <cellStyle name="60% - 强调文字颜色 6 13 3 4" xfId="9469"/>
    <cellStyle name="注释 7 3 2" xfId="9470"/>
    <cellStyle name="60% - 强调文字颜色 6 13 4 2" xfId="9471"/>
    <cellStyle name="百分比 5 3 3 2" xfId="9472"/>
    <cellStyle name="常规 5 4 8" xfId="9473"/>
    <cellStyle name="60% - 强调文字颜色 6 13 4 2 2" xfId="9474"/>
    <cellStyle name="60% - 强调文字颜色 6 13 4 3" xfId="9475"/>
    <cellStyle name="60% - 强调文字颜色 6 3 4 2 2" xfId="9476"/>
    <cellStyle name="常规 5 4 9" xfId="9477"/>
    <cellStyle name="60% - 强调文字颜色 6 13 5" xfId="9478"/>
    <cellStyle name="百分比 5 3 4" xfId="9479"/>
    <cellStyle name="60% - 强调文字颜色 6 13 5 2" xfId="9480"/>
    <cellStyle name="常规 5 5 8" xfId="9481"/>
    <cellStyle name="60% - 强调文字颜色 6 13 6" xfId="9482"/>
    <cellStyle name="60% - 强调文字颜色 6 13 6 2" xfId="9483"/>
    <cellStyle name="常规 5 6 8" xfId="9484"/>
    <cellStyle name="60% - 强调文字颜色 6 13 7" xfId="9485"/>
    <cellStyle name="60% - 强调文字颜色 6 13 7 2" xfId="9486"/>
    <cellStyle name="60% - 强调文字颜色 6 13 8" xfId="9487"/>
    <cellStyle name="60% - 强调文字颜色 6 13 9" xfId="9488"/>
    <cellStyle name="60% - 强调文字颜色 6 14" xfId="9489"/>
    <cellStyle name="60% - 强调文字颜色 6 14 2" xfId="9490"/>
    <cellStyle name="解释性文本 9 6" xfId="9491"/>
    <cellStyle name="60% - 强调文字颜色 6 14 2 2" xfId="9492"/>
    <cellStyle name="常规 6 2 8" xfId="9493"/>
    <cellStyle name="60% - 强调文字颜色 6 14 2 2 2" xfId="9494"/>
    <cellStyle name="60% - 强调文字颜色 6 14 2 3" xfId="9495"/>
    <cellStyle name="常规 6 2 9" xfId="9496"/>
    <cellStyle name="60% - 强调文字颜色 6 14 3 2" xfId="9497"/>
    <cellStyle name="百分比 5 4 2 2" xfId="9498"/>
    <cellStyle name="常规 6 3 8" xfId="9499"/>
    <cellStyle name="60% - 强调文字颜色 6 14 4" xfId="9500"/>
    <cellStyle name="百分比 5 4 3" xfId="9501"/>
    <cellStyle name="60% - 强调文字颜色 6 15" xfId="9502"/>
    <cellStyle name="60% - 强调文字颜色 6 15 2" xfId="9503"/>
    <cellStyle name="60% - 强调文字颜色 6 15 2 2" xfId="9504"/>
    <cellStyle name="常规 7 2 8" xfId="9505"/>
    <cellStyle name="60% - 强调文字颜色 6 15 3" xfId="9506"/>
    <cellStyle name="百分比 5 5 2" xfId="9507"/>
    <cellStyle name="60% - 强调文字颜色 6 16 2" xfId="9508"/>
    <cellStyle name="60% - 强调文字颜色 6 17" xfId="9509"/>
    <cellStyle name="60% - 强调文字颜色 6 2 10" xfId="9510"/>
    <cellStyle name="60% - 强调文字颜色 6 2 11" xfId="9511"/>
    <cellStyle name="60% - 强调文字颜色 6 2 12" xfId="9512"/>
    <cellStyle name="60% - 强调文字颜色 6 2 2" xfId="9513"/>
    <cellStyle name="60% - 强调文字颜色 6 2 2 2" xfId="9514"/>
    <cellStyle name="60% - 强调文字颜色 6 2 2 2 2" xfId="9515"/>
    <cellStyle name="60% - 强调文字颜色 6 2 2 2 2 2" xfId="9516"/>
    <cellStyle name="千位分隔 14 3 3" xfId="9517"/>
    <cellStyle name="60% - 强调文字颜色 6 2 2 2 2 2 2" xfId="9518"/>
    <cellStyle name="计算 2 6 3" xfId="9519"/>
    <cellStyle name="60% - 强调文字颜色 6 2 2 2 2 3" xfId="9520"/>
    <cellStyle name="60% - 强调文字颜色 6 2 2 2 2 3 2" xfId="9521"/>
    <cellStyle name="60% - 强调文字颜色 6 2 2 2 2 4" xfId="9522"/>
    <cellStyle name="60% - 强调文字颜色 6 2 2 2 3" xfId="9523"/>
    <cellStyle name="60% - 强调文字颜色 6 2 2 2 3 2" xfId="9524"/>
    <cellStyle name="60% - 强调文字颜色 6 2 2 3" xfId="9525"/>
    <cellStyle name="强调文字颜色 1 11 4 2" xfId="9526"/>
    <cellStyle name="输出 10" xfId="9527"/>
    <cellStyle name="60% - 强调文字颜色 6 2 2 3 2" xfId="9528"/>
    <cellStyle name="输出 10 2" xfId="9529"/>
    <cellStyle name="60% - 强调文字颜色 6 2 2 3 2 2" xfId="9530"/>
    <cellStyle name="千位分隔 15 3 3" xfId="9531"/>
    <cellStyle name="输出 10 2 2" xfId="9532"/>
    <cellStyle name="60% - 强调文字颜色 6 2 2 3 3" xfId="9533"/>
    <cellStyle name="输出 10 3" xfId="9534"/>
    <cellStyle name="60% - 强调文字颜色 6 2 2 4 2" xfId="9535"/>
    <cellStyle name="输出 11 2" xfId="9536"/>
    <cellStyle name="60% - 强调文字颜色 6 2 3" xfId="9537"/>
    <cellStyle name="60% - 强调文字颜色 6 2 3 2" xfId="9538"/>
    <cellStyle name="60% - 强调文字颜色 6 2 3 2 2" xfId="9539"/>
    <cellStyle name="60% - 强调文字颜色 6 2 3 2 2 2" xfId="9540"/>
    <cellStyle name="60% - 强调文字颜色 6 2 3 2 3" xfId="9541"/>
    <cellStyle name="60% - 强调文字颜色 6 2 3 3" xfId="9542"/>
    <cellStyle name="强调文字颜色 1 11 5 2" xfId="9543"/>
    <cellStyle name="60% - 强调文字颜色 6 2 3 3 2" xfId="9544"/>
    <cellStyle name="60% - 强调文字颜色 6 2 3 4" xfId="9545"/>
    <cellStyle name="60% - 强调文字颜色 6 2 4 2 2 2" xfId="9546"/>
    <cellStyle name="60% - 强调文字颜色 6 2 4 2 3" xfId="9547"/>
    <cellStyle name="60% - 强调文字颜色 6 2 4 3 2" xfId="9548"/>
    <cellStyle name="60% - 强调文字颜色 6 2 4 4" xfId="9549"/>
    <cellStyle name="60% - 强调文字颜色 6 2 5 2 2" xfId="9550"/>
    <cellStyle name="60% - 强调文字颜色 6 2 5 3" xfId="9551"/>
    <cellStyle name="强调文字颜色 1 11 7 2" xfId="9552"/>
    <cellStyle name="60% - 强调文字颜色 6 2 6 2" xfId="9553"/>
    <cellStyle name="60% - 强调文字颜色 6 2 7" xfId="9554"/>
    <cellStyle name="输出 10 8 2" xfId="9555"/>
    <cellStyle name="60% - 强调文字颜色 6 2 7 2" xfId="9556"/>
    <cellStyle name="常规 2 10 3" xfId="9557"/>
    <cellStyle name="60% - 强调文字颜色 6 2 8" xfId="9558"/>
    <cellStyle name="60% - 强调文字颜色 6 2 9" xfId="9559"/>
    <cellStyle name="60% - 强调文字颜色 6 3" xfId="9560"/>
    <cellStyle name="60% - 强调文字颜色 6 3 10" xfId="9561"/>
    <cellStyle name="60% - 强调文字颜色 6 3 12" xfId="9562"/>
    <cellStyle name="60% - 强调文字颜色 6 3 2" xfId="9563"/>
    <cellStyle name="60% - 强调文字颜色 6 3 2 2 2 2" xfId="9564"/>
    <cellStyle name="60% - 强调文字颜色 6 3 2 2 3" xfId="9565"/>
    <cellStyle name="注释 5 4 2" xfId="9566"/>
    <cellStyle name="60% - 强调文字颜色 6 3 2 3 2" xfId="9567"/>
    <cellStyle name="60% - 强调文字颜色 6 3 2 4" xfId="9568"/>
    <cellStyle name="60% - 强调文字颜色 6 3 2 5" xfId="9569"/>
    <cellStyle name="60% - 强调文字颜色 6 3 3" xfId="9570"/>
    <cellStyle name="60% - 强调文字颜色 6 3 3 2" xfId="9571"/>
    <cellStyle name="60% - 强调文字颜色 6 3 3 2 2 2" xfId="9572"/>
    <cellStyle name="60% - 强调文字颜色 6 3 3 2 3" xfId="9573"/>
    <cellStyle name="注释 6 4 2" xfId="9574"/>
    <cellStyle name="60% - 强调文字颜色 6 3 3 3" xfId="9575"/>
    <cellStyle name="强调文字颜色 1 12 5 2" xfId="9576"/>
    <cellStyle name="60% - 强调文字颜色 6 3 3 3 2" xfId="9577"/>
    <cellStyle name="60% - 强调文字颜色 6 3 3 4" xfId="9578"/>
    <cellStyle name="60% - 强调文字颜色 6 3 4 3" xfId="9579"/>
    <cellStyle name="强调文字颜色 1 12 6 2" xfId="9580"/>
    <cellStyle name="60% - 强调文字颜色 6 3 5 2" xfId="9581"/>
    <cellStyle name="60% - 强调文字颜色 6 3 6" xfId="9582"/>
    <cellStyle name="60% - 强调文字颜色 6 3 6 2" xfId="9583"/>
    <cellStyle name="60% - 强调文字颜色 6 3 7" xfId="9584"/>
    <cellStyle name="输出 10 9 2" xfId="9585"/>
    <cellStyle name="60% - 强调文字颜色 6 3 8" xfId="9586"/>
    <cellStyle name="60% - 强调文字颜色 6 3 9" xfId="9587"/>
    <cellStyle name="60% - 强调文字颜色 6 4" xfId="9588"/>
    <cellStyle name="60% - 强调文字颜色 6 4 10" xfId="9589"/>
    <cellStyle name="60% - 强调文字颜色 6 4 11" xfId="9590"/>
    <cellStyle name="60% - 强调文字颜色 6 4 12" xfId="9591"/>
    <cellStyle name="标题 3 12 3 2" xfId="9592"/>
    <cellStyle name="60% - 强调文字颜色 6 4 2" xfId="9593"/>
    <cellStyle name="标题 3 4 2 5" xfId="9594"/>
    <cellStyle name="60% - 强调文字颜色 6 4 2 2" xfId="9595"/>
    <cellStyle name="60% - 强调文字颜色 6 4 2 2 2" xfId="9596"/>
    <cellStyle name="强调文字颜色 2 15" xfId="9597"/>
    <cellStyle name="60% - 强调文字颜色 6 4 2 2 3" xfId="9598"/>
    <cellStyle name="常规 2 2 5 10" xfId="9599"/>
    <cellStyle name="强调文字颜色 2 16" xfId="9600"/>
    <cellStyle name="60% - 强调文字颜色 6 4 2 3" xfId="9601"/>
    <cellStyle name="强调文字颜色 1 13 4 2" xfId="9602"/>
    <cellStyle name="60% - 强调文字颜色 6 4 2 3 2" xfId="9603"/>
    <cellStyle name="60% - 强调文字颜色 6 4 3" xfId="9604"/>
    <cellStyle name="60% - 强调文字颜色 6 4 3 2" xfId="9605"/>
    <cellStyle name="60% - 强调文字颜色 6 4 3 2 2" xfId="9606"/>
    <cellStyle name="60% - 强调文字颜色 6 4 3 2 2 2" xfId="9607"/>
    <cellStyle name="60% - 强调文字颜色 6 4 3 2 3" xfId="9608"/>
    <cellStyle name="60% - 强调文字颜色 6 4 3 3" xfId="9609"/>
    <cellStyle name="强调文字颜色 1 13 5 2" xfId="9610"/>
    <cellStyle name="60% - 强调文字颜色 6 4 3 3 2" xfId="9611"/>
    <cellStyle name="60% - 强调文字颜色 6 4 4 2" xfId="9612"/>
    <cellStyle name="60% - 强调文字颜色 6 4 4 2 2" xfId="9613"/>
    <cellStyle name="60% - 强调文字颜色 6 4 4 3" xfId="9614"/>
    <cellStyle name="强调文字颜色 1 13 6 2" xfId="9615"/>
    <cellStyle name="60% - 强调文字颜色 6 4 5" xfId="9616"/>
    <cellStyle name="60% - 强调文字颜色 6 4 5 2" xfId="9617"/>
    <cellStyle name="60% - 强调文字颜色 6 4 6" xfId="9618"/>
    <cellStyle name="60% - 强调文字颜色 6 4 6 2" xfId="9619"/>
    <cellStyle name="60% - 强调文字颜色 6 4 7" xfId="9620"/>
    <cellStyle name="60% - 强调文字颜色 6 4 8" xfId="9621"/>
    <cellStyle name="60% - 强调文字颜色 6 4 9" xfId="9622"/>
    <cellStyle name="60% - 强调文字颜色 6 5" xfId="9623"/>
    <cellStyle name="60% - 强调文字颜色 6 5 10" xfId="9624"/>
    <cellStyle name="常规 18 3 9" xfId="9625"/>
    <cellStyle name="60% - 强调文字颜色 6 5 11" xfId="9626"/>
    <cellStyle name="60% - 强调文字颜色 6 5 12" xfId="9627"/>
    <cellStyle name="60% - 强调文字颜色 6 5 2" xfId="9628"/>
    <cellStyle name="60% - 强调文字颜色 6 5 2 2" xfId="9629"/>
    <cellStyle name="60% - 强调文字颜色 6 5 2 2 2" xfId="9630"/>
    <cellStyle name="60% - 强调文字颜色 6 5 2 2 2 2" xfId="9631"/>
    <cellStyle name="60% - 强调文字颜色 6 5 2 2 3" xfId="9632"/>
    <cellStyle name="60% - 强调文字颜色 6 5 2 3" xfId="9633"/>
    <cellStyle name="60% - 强调文字颜色 6 5 2 3 2" xfId="9634"/>
    <cellStyle name="60% - 强调文字颜色 6 5 3" xfId="9635"/>
    <cellStyle name="60% - 强调文字颜色 6 5 3 2" xfId="9636"/>
    <cellStyle name="60% - 强调文字颜色 6 5 3 2 2" xfId="9637"/>
    <cellStyle name="60% - 强调文字颜色 6 5 3 2 2 2" xfId="9638"/>
    <cellStyle name="60% - 强调文字颜色 6 5 3 3" xfId="9639"/>
    <cellStyle name="60% - 强调文字颜色 6 5 3 3 2" xfId="9640"/>
    <cellStyle name="60% - 强调文字颜色 6 5 4 2" xfId="9641"/>
    <cellStyle name="60% - 强调文字颜色 6 5 4 2 2" xfId="9642"/>
    <cellStyle name="60% - 强调文字颜色 6 5 4 3" xfId="9643"/>
    <cellStyle name="60% - 强调文字颜色 6 5 5" xfId="9644"/>
    <cellStyle name="60% - 强调文字颜色 6 5 5 2" xfId="9645"/>
    <cellStyle name="60% - 强调文字颜色 6 5 6" xfId="9646"/>
    <cellStyle name="60% - 强调文字颜色 6 5 6 2" xfId="9647"/>
    <cellStyle name="60% - 强调文字颜色 6 5 7" xfId="9648"/>
    <cellStyle name="60% - 强调文字颜色 6 5 8" xfId="9649"/>
    <cellStyle name="60% - 强调文字颜色 6 5 9" xfId="9650"/>
    <cellStyle name="60% - 强调文字颜色 6 6" xfId="9651"/>
    <cellStyle name="60% - 强调文字颜色 6 6 10" xfId="9652"/>
    <cellStyle name="常规 4 2 4 2 2" xfId="9653"/>
    <cellStyle name="60% - 强调文字颜色 6 6 2" xfId="9654"/>
    <cellStyle name="60% - 强调文字颜色 6 6 2 2" xfId="9655"/>
    <cellStyle name="60% - 强调文字颜色 6 6 2 2 2" xfId="9656"/>
    <cellStyle name="60% - 强调文字颜色 6 6 2 2 2 2" xfId="9657"/>
    <cellStyle name="60% - 强调文字颜色 6 6 2 2 3" xfId="9658"/>
    <cellStyle name="60% - 强调文字颜色 6 6 2 3" xfId="9659"/>
    <cellStyle name="60% - 强调文字颜色 6 6 2 3 2" xfId="9660"/>
    <cellStyle name="60% - 强调文字颜色 6 6 2 5" xfId="9661"/>
    <cellStyle name="60% - 强调文字颜色 6 6 3" xfId="9662"/>
    <cellStyle name="60% - 强调文字颜色 6 6 3 2 2" xfId="9663"/>
    <cellStyle name="60% - 强调文字颜色 6 6 3 2 2 2" xfId="9664"/>
    <cellStyle name="60% - 强调文字颜色 6 6 3 3 2" xfId="9665"/>
    <cellStyle name="60% - 强调文字颜色 6 6 4" xfId="9666"/>
    <cellStyle name="60% - 强调文字颜色 6 6 4 2" xfId="9667"/>
    <cellStyle name="60% - 强调文字颜色 6 6 4 2 2" xfId="9668"/>
    <cellStyle name="60% - 强调文字颜色 6 6 4 3" xfId="9669"/>
    <cellStyle name="60% - 强调文字颜色 6 6 5" xfId="9670"/>
    <cellStyle name="60% - 强调文字颜色 6 6 5 2" xfId="9671"/>
    <cellStyle name="60% - 强调文字颜色 6 6 8" xfId="9672"/>
    <cellStyle name="强调文字颜色 4 3 10" xfId="9673"/>
    <cellStyle name="60% - 强调文字颜色 6 6 9" xfId="9674"/>
    <cellStyle name="强调文字颜色 4 3 11" xfId="9675"/>
    <cellStyle name="60% - 强调文字颜色 6 7" xfId="9676"/>
    <cellStyle name="60% - 强调文字颜色 6 7 10" xfId="9677"/>
    <cellStyle name="60% - 强调文字颜色 6 7 11" xfId="9678"/>
    <cellStyle name="60% - 强调文字颜色 6 7 12" xfId="9679"/>
    <cellStyle name="60% - 强调文字颜色 6 7 2" xfId="9680"/>
    <cellStyle name="60% - 强调文字颜色 6 7 2 2" xfId="9681"/>
    <cellStyle name="60% - 强调文字颜色 6 7 2 2 2" xfId="9682"/>
    <cellStyle name="60% - 强调文字颜色 6 7 2 2 2 2" xfId="9683"/>
    <cellStyle name="60% - 强调文字颜色 6 7 2 2 3" xfId="9684"/>
    <cellStyle name="60% - 强调文字颜色 6 7 2 3" xfId="9685"/>
    <cellStyle name="60% - 强调文字颜色 6 7 2 3 2" xfId="9686"/>
    <cellStyle name="60% - 强调文字颜色 6 7 2 4" xfId="9687"/>
    <cellStyle name="60% - 强调文字颜色 6 7 2 5" xfId="9688"/>
    <cellStyle name="60% - 强调文字颜色 6 7 3" xfId="9689"/>
    <cellStyle name="60% - 强调文字颜色 6 7 3 2 2" xfId="9690"/>
    <cellStyle name="60% - 强调文字颜色 6 7 3 2 2 2" xfId="9691"/>
    <cellStyle name="60% - 强调文字颜色 6 7 3 2 3" xfId="9692"/>
    <cellStyle name="60% - 强调文字颜色 6 7 3 3" xfId="9693"/>
    <cellStyle name="60% - 强调文字颜色 6 7 3 3 2" xfId="9694"/>
    <cellStyle name="60% - 强调文字颜色 6 7 4" xfId="9695"/>
    <cellStyle name="60% - 强调文字颜色 6 7 4 2" xfId="9696"/>
    <cellStyle name="60% - 强调文字颜色 6 7 4 2 2" xfId="9697"/>
    <cellStyle name="60% - 强调文字颜色 6 7 4 3" xfId="9698"/>
    <cellStyle name="60% - 强调文字颜色 6 7 5" xfId="9699"/>
    <cellStyle name="60% - 强调文字颜色 6 7 5 2" xfId="9700"/>
    <cellStyle name="60% - 强调文字颜色 6 7 6 2" xfId="9701"/>
    <cellStyle name="差 11 11" xfId="9702"/>
    <cellStyle name="60% - 强调文字颜色 6 7 7" xfId="9703"/>
    <cellStyle name="60% - 强调文字颜色 6 7 8" xfId="9704"/>
    <cellStyle name="60% - 强调文字颜色 6 7 9" xfId="9705"/>
    <cellStyle name="60% - 强调文字颜色 6 8 10" xfId="9706"/>
    <cellStyle name="60% - 强调文字颜色 6 8 11" xfId="9707"/>
    <cellStyle name="60% - 强调文字颜色 6 8 12" xfId="9708"/>
    <cellStyle name="60% - 强调文字颜色 6 8 2 2 2" xfId="9709"/>
    <cellStyle name="60% - 强调文字颜色 6 8 2 2 2 2" xfId="9710"/>
    <cellStyle name="60% - 强调文字颜色 6 8 2 2 3" xfId="9711"/>
    <cellStyle name="60% - 强调文字颜色 6 8 2 3" xfId="9712"/>
    <cellStyle name="60% - 强调文字颜色 6 8 2 3 2" xfId="9713"/>
    <cellStyle name="60% - 强调文字颜色 6 8 2 4" xfId="9714"/>
    <cellStyle name="60% - 强调文字颜色 6 8 2 5" xfId="9715"/>
    <cellStyle name="60% - 强调文字颜色 6 8 3 2" xfId="9716"/>
    <cellStyle name="60% - 强调文字颜色 6 8 3 2 2" xfId="9717"/>
    <cellStyle name="60% - 强调文字颜色 6 8 3 2 2 2" xfId="9718"/>
    <cellStyle name="60% - 强调文字颜色 6 8 3 2 3" xfId="9719"/>
    <cellStyle name="60% - 强调文字颜色 6 8 3 3" xfId="9720"/>
    <cellStyle name="60% - 强调文字颜色 6 8 3 3 2" xfId="9721"/>
    <cellStyle name="60% - 强调文字颜色 6 8 4 2" xfId="9722"/>
    <cellStyle name="60% - 强调文字颜色 6 8 4 2 2" xfId="9723"/>
    <cellStyle name="60% - 强调文字颜色 6 8 4 3" xfId="9724"/>
    <cellStyle name="60% - 强调文字颜色 6 8 5" xfId="9725"/>
    <cellStyle name="60% - 强调文字颜色 6 8 5 2" xfId="9726"/>
    <cellStyle name="60% - 强调文字颜色 6 8 6" xfId="9727"/>
    <cellStyle name="60% - 强调文字颜色 6 8 6 2" xfId="9728"/>
    <cellStyle name="60% - 强调文字颜色 6 8 7" xfId="9729"/>
    <cellStyle name="60% - 强调文字颜色 6 8 8" xfId="9730"/>
    <cellStyle name="标题 4 4 2 2 2 2" xfId="9731"/>
    <cellStyle name="60% - 强调文字颜色 6 8 9" xfId="9732"/>
    <cellStyle name="60% - 强调文字颜色 6 9" xfId="9733"/>
    <cellStyle name="60% - 强调文字颜色 6 9 10" xfId="9734"/>
    <cellStyle name="60% - 强调文字颜色 6 9 11" xfId="9735"/>
    <cellStyle name="60% - 强调文字颜色 6 9 12" xfId="9736"/>
    <cellStyle name="标题 3 13 3 2" xfId="9737"/>
    <cellStyle name="60% - 强调文字颜色 6 9 2 2 2" xfId="9738"/>
    <cellStyle name="60% - 强调文字颜色 6 9 2 2 2 2" xfId="9739"/>
    <cellStyle name="60% - 强调文字颜色 6 9 2 2 3" xfId="9740"/>
    <cellStyle name="60% - 强调文字颜色 6 9 2 3" xfId="9741"/>
    <cellStyle name="60% - 强调文字颜色 6 9 2 3 2" xfId="9742"/>
    <cellStyle name="计算 2 10" xfId="9743"/>
    <cellStyle name="60% - 强调文字颜色 6 9 2 4" xfId="9744"/>
    <cellStyle name="60% - 强调文字颜色 6 9 2 5" xfId="9745"/>
    <cellStyle name="60% - 强调文字颜色 6 9 3 2" xfId="9746"/>
    <cellStyle name="强调文字颜色 4 10 5 2" xfId="9747"/>
    <cellStyle name="60% - 强调文字颜色 6 9 3 2 2" xfId="9748"/>
    <cellStyle name="60% - 强调文字颜色 6 9 3 2 2 2" xfId="9749"/>
    <cellStyle name="60% - 强调文字颜色 6 9 3 2 3" xfId="9750"/>
    <cellStyle name="60% - 强调文字颜色 6 9 3 3" xfId="9751"/>
    <cellStyle name="60% - 强调文字颜色 6 9 4" xfId="9752"/>
    <cellStyle name="强调文字颜色 4 10 6" xfId="9753"/>
    <cellStyle name="60% - 强调文字颜色 6 9 4 2" xfId="9754"/>
    <cellStyle name="强调文字颜色 4 10 6 2" xfId="9755"/>
    <cellStyle name="60% - 强调文字颜色 6 9 4 2 2" xfId="9756"/>
    <cellStyle name="60% - 强调文字颜色 6 9 4 3" xfId="9757"/>
    <cellStyle name="60% - 强调文字颜色 6 9 6 2" xfId="9758"/>
    <cellStyle name="60% - 强调文字颜色 6 9 7" xfId="9759"/>
    <cellStyle name="强调文字颜色 4 10 9" xfId="9760"/>
    <cellStyle name="accountNameD" xfId="9761"/>
    <cellStyle name="计算 9 5 4" xfId="9762"/>
    <cellStyle name="args.style" xfId="9763"/>
    <cellStyle name="Black" xfId="9764"/>
    <cellStyle name="Border" xfId="9765"/>
    <cellStyle name="Border 10" xfId="9766"/>
    <cellStyle name="Border 11" xfId="9767"/>
    <cellStyle name="Border 12" xfId="9768"/>
    <cellStyle name="Border 13" xfId="9769"/>
    <cellStyle name="Border 2" xfId="9770"/>
    <cellStyle name="输入 5 6 5" xfId="9771"/>
    <cellStyle name="Border 2 10" xfId="9772"/>
    <cellStyle name="警告文本 3 3 2 2" xfId="9773"/>
    <cellStyle name="Border 2 5" xfId="9774"/>
    <cellStyle name="Border 2 6" xfId="9775"/>
    <cellStyle name="计算 13 4 2" xfId="9776"/>
    <cellStyle name="Border 2 7" xfId="9777"/>
    <cellStyle name="计算 13 4 3" xfId="9778"/>
    <cellStyle name="Border 2 8" xfId="9779"/>
    <cellStyle name="计算 13 4 4" xfId="9780"/>
    <cellStyle name="Border 2 9" xfId="9781"/>
    <cellStyle name="计算 13 4 5" xfId="9782"/>
    <cellStyle name="Border 3" xfId="9783"/>
    <cellStyle name="Border 3 10" xfId="9784"/>
    <cellStyle name="好_中国书店瑞祥泰 (09审计）往来科目需填写表格" xfId="9785"/>
    <cellStyle name="Border 3 2" xfId="9786"/>
    <cellStyle name="Border 3 3" xfId="9787"/>
    <cellStyle name="Border 3 4" xfId="9788"/>
    <cellStyle name="Border 3 5" xfId="9789"/>
    <cellStyle name="Border 3 6" xfId="9790"/>
    <cellStyle name="计算 13 5 2" xfId="9791"/>
    <cellStyle name="Border 3 7" xfId="9792"/>
    <cellStyle name="计算 13 5 3" xfId="9793"/>
    <cellStyle name="Border 3 8" xfId="9794"/>
    <cellStyle name="计算 13 5 4" xfId="9795"/>
    <cellStyle name="Border 3 9" xfId="9796"/>
    <cellStyle name="计算 13 5 5" xfId="9797"/>
    <cellStyle name="Border 4" xfId="9798"/>
    <cellStyle name="Border 4 10" xfId="9799"/>
    <cellStyle name="Border 4 2" xfId="9800"/>
    <cellStyle name="Border 4 3" xfId="9801"/>
    <cellStyle name="Border 4 4" xfId="9802"/>
    <cellStyle name="Border 4 5" xfId="9803"/>
    <cellStyle name="Border 4 6" xfId="9804"/>
    <cellStyle name="计算 13 6 2" xfId="9805"/>
    <cellStyle name="Border 4 7" xfId="9806"/>
    <cellStyle name="计算 13 6 3" xfId="9807"/>
    <cellStyle name="强调文字颜色 5 11 10" xfId="9808"/>
    <cellStyle name="Border 4 9" xfId="9809"/>
    <cellStyle name="计算 13 6 5" xfId="9810"/>
    <cellStyle name="强调文字颜色 5 11 12" xfId="9811"/>
    <cellStyle name="Border 5" xfId="9812"/>
    <cellStyle name="标题 4 13 2 2" xfId="9813"/>
    <cellStyle name="Border 6" xfId="9814"/>
    <cellStyle name="标题 4 13 2 3" xfId="9815"/>
    <cellStyle name="Border 7" xfId="9816"/>
    <cellStyle name="标题 4 13 2 4" xfId="9817"/>
    <cellStyle name="Border 8" xfId="9818"/>
    <cellStyle name="标题 4 13 2 5" xfId="9819"/>
    <cellStyle name="Border 9" xfId="9820"/>
    <cellStyle name="Calc Currency (0)" xfId="9821"/>
    <cellStyle name="强调文字颜色 1 5 6 2" xfId="9822"/>
    <cellStyle name="Calc Currency (2)" xfId="9823"/>
    <cellStyle name="Calc Percent (2)" xfId="9824"/>
    <cellStyle name="Header2 4 2 3 3" xfId="9825"/>
    <cellStyle name="Calc Units (0)" xfId="9826"/>
    <cellStyle name="Calc Units (1)" xfId="9827"/>
    <cellStyle name="标题 3 10 3 2" xfId="9828"/>
    <cellStyle name="Calc Units (2)" xfId="9829"/>
    <cellStyle name="Col Heads" xfId="9830"/>
    <cellStyle name="Header2 3 4 3 2" xfId="9831"/>
    <cellStyle name="输出 2 6 2" xfId="9832"/>
    <cellStyle name="ColLevel_0" xfId="9833"/>
    <cellStyle name="Comma" xfId="9834"/>
    <cellStyle name="强调文字颜色 6 4 2 4" xfId="9835"/>
    <cellStyle name="Comma  - Style1" xfId="9836"/>
    <cellStyle name="Comma  - Style2" xfId="9837"/>
    <cellStyle name="适中 13 2" xfId="9838"/>
    <cellStyle name="Comma  - Style3" xfId="9839"/>
    <cellStyle name="适中 13 3" xfId="9840"/>
    <cellStyle name="Comma  - Style4" xfId="9841"/>
    <cellStyle name="适中 13 4" xfId="9842"/>
    <cellStyle name="Comma  - Style5" xfId="9843"/>
    <cellStyle name="强调文字颜色 6 9 2 2" xfId="9844"/>
    <cellStyle name="适中 13 5" xfId="9845"/>
    <cellStyle name="适中 2 5 2" xfId="9846"/>
    <cellStyle name="Comma  - Style6" xfId="9847"/>
    <cellStyle name="强调文字颜色 6 9 2 3" xfId="9848"/>
    <cellStyle name="适中 13 6" xfId="9849"/>
    <cellStyle name="Comma  - Style7" xfId="9850"/>
    <cellStyle name="强调文字颜色 6 9 2 4" xfId="9851"/>
    <cellStyle name="适中 13 7" xfId="9852"/>
    <cellStyle name="Comma [0]" xfId="9853"/>
    <cellStyle name="Comma [00]" xfId="9854"/>
    <cellStyle name="comma zerodec" xfId="9855"/>
    <cellStyle name="Comma,1" xfId="9856"/>
    <cellStyle name="注释 18 3" xfId="9857"/>
    <cellStyle name="注释 23 3" xfId="9858"/>
    <cellStyle name="Comma_ rislugp" xfId="9859"/>
    <cellStyle name="适中 13 12" xfId="9860"/>
    <cellStyle name="输出 6 2 3 2" xfId="9861"/>
    <cellStyle name="Credit" xfId="9862"/>
    <cellStyle name="注释 10 4 4" xfId="9863"/>
    <cellStyle name="Currency" xfId="9864"/>
    <cellStyle name="汇总 5 2 2" xfId="9865"/>
    <cellStyle name="Currency [0]" xfId="9866"/>
    <cellStyle name="Currency,0" xfId="9867"/>
    <cellStyle name="Currency,2" xfId="9868"/>
    <cellStyle name="Currency_ rislugp" xfId="9869"/>
    <cellStyle name="Currency1" xfId="9870"/>
    <cellStyle name="Date" xfId="9871"/>
    <cellStyle name="Date 2" xfId="9872"/>
    <cellStyle name="Debit" xfId="9873"/>
    <cellStyle name="Dezimal [0]_laroux" xfId="9874"/>
    <cellStyle name="Dezimal_laroux" xfId="9875"/>
    <cellStyle name="差_中航文化序时账&amp;余额表" xfId="9876"/>
    <cellStyle name="Dollar (zero dec)" xfId="9877"/>
    <cellStyle name="计算 11 5 4" xfId="9878"/>
    <cellStyle name="entry" xfId="9879"/>
    <cellStyle name="entry box" xfId="9880"/>
    <cellStyle name="差 2 3 2 2" xfId="9881"/>
    <cellStyle name="entry box 2" xfId="9882"/>
    <cellStyle name="差 2 3 2 2 2" xfId="9883"/>
    <cellStyle name="计算 6 3 4" xfId="9884"/>
    <cellStyle name="Followed Hyperlink_AheadBehind.xls Chart 23" xfId="9885"/>
    <cellStyle name="Grey" xfId="9886"/>
    <cellStyle name="Header1" xfId="9887"/>
    <cellStyle name="Header1 2" xfId="9888"/>
    <cellStyle name="Header1 2 2" xfId="9889"/>
    <cellStyle name="注释 14 7" xfId="9890"/>
    <cellStyle name="Header1 3 2" xfId="9891"/>
    <cellStyle name="注释 15 7" xfId="9892"/>
    <cellStyle name="注释 20 7" xfId="9893"/>
    <cellStyle name="Header1 4" xfId="9894"/>
    <cellStyle name="Header1 5" xfId="9895"/>
    <cellStyle name="Header1 6" xfId="9896"/>
    <cellStyle name="Header1 7" xfId="9897"/>
    <cellStyle name="Header2" xfId="9898"/>
    <cellStyle name="Header2 10" xfId="9899"/>
    <cellStyle name="Header2 10 2" xfId="9900"/>
    <cellStyle name="Header2 11" xfId="9901"/>
    <cellStyle name="Header2 11 2" xfId="9902"/>
    <cellStyle name="Header2 12" xfId="9903"/>
    <cellStyle name="Header2 12 2" xfId="9904"/>
    <cellStyle name="强调文字颜色 5 12 12" xfId="9905"/>
    <cellStyle name="Header2 13" xfId="9906"/>
    <cellStyle name="Header2 13 2" xfId="9907"/>
    <cellStyle name="Header2 14" xfId="9908"/>
    <cellStyle name="Header2 14 2" xfId="9909"/>
    <cellStyle name="Header2 15" xfId="9910"/>
    <cellStyle name="Header2 20" xfId="9911"/>
    <cellStyle name="Header2 15 2" xfId="9912"/>
    <cellStyle name="Header2 16" xfId="9913"/>
    <cellStyle name="Header2 16 2" xfId="9914"/>
    <cellStyle name="Header2 17" xfId="9915"/>
    <cellStyle name="Header2 17 2" xfId="9916"/>
    <cellStyle name="强调文字颜色 5 13 12" xfId="9917"/>
    <cellStyle name="Header2 18" xfId="9918"/>
    <cellStyle name="Header2 18 2" xfId="9919"/>
    <cellStyle name="Header2 19" xfId="9920"/>
    <cellStyle name="Header2 19 2" xfId="9921"/>
    <cellStyle name="Header2 2" xfId="9922"/>
    <cellStyle name="Header2 2 10" xfId="9923"/>
    <cellStyle name="Header2 2 11" xfId="9924"/>
    <cellStyle name="Header2 2 12" xfId="9925"/>
    <cellStyle name="Header2 2 13" xfId="9926"/>
    <cellStyle name="Header2 2 2" xfId="9927"/>
    <cellStyle name="强调文字颜色 5 10 4" xfId="9928"/>
    <cellStyle name="Header2 2 2 10" xfId="9929"/>
    <cellStyle name="Header2 2 2 10 2" xfId="9930"/>
    <cellStyle name="Header2 2 2 11" xfId="9931"/>
    <cellStyle name="Header2 2 2 11 2" xfId="9932"/>
    <cellStyle name="Header2 2 2 12" xfId="9933"/>
    <cellStyle name="Header2 2 2 2" xfId="9934"/>
    <cellStyle name="强调文字颜色 5 10 4 2" xfId="9935"/>
    <cellStyle name="Header2 2 2 2 10" xfId="9936"/>
    <cellStyle name="Header2 2 2 2 10 2" xfId="9937"/>
    <cellStyle name="Header2 2 2 2 11" xfId="9938"/>
    <cellStyle name="Header2 2 2 2 11 2" xfId="9939"/>
    <cellStyle name="Header2 2 2 2 12" xfId="9940"/>
    <cellStyle name="Header2 2 2 2 2" xfId="9941"/>
    <cellStyle name="常规 2 2 2 18" xfId="9942"/>
    <cellStyle name="Header2 2 2 2 2 10" xfId="9943"/>
    <cellStyle name="Header2 2 2 2 2 10 2" xfId="9944"/>
    <cellStyle name="Header2 2 2 2 2 11" xfId="9945"/>
    <cellStyle name="Header2 2 2 2 2 2" xfId="9946"/>
    <cellStyle name="Header2 2 2 2 2 2 2" xfId="9947"/>
    <cellStyle name="Header2 2 2 2 2 2 2 2" xfId="9948"/>
    <cellStyle name="Header2 2 2 2 2 2 3" xfId="9949"/>
    <cellStyle name="Header2 2 2 2 2 2 3 2" xfId="9950"/>
    <cellStyle name="Header2 2 2 2 2 3" xfId="9951"/>
    <cellStyle name="Header2 2 2 2 2 3 2" xfId="9952"/>
    <cellStyle name="常规 7 3 19" xfId="9953"/>
    <cellStyle name="Header2 2 2 2 2 3 2 2" xfId="9954"/>
    <cellStyle name="Header2 2 2 2 2 3 3" xfId="9955"/>
    <cellStyle name="Header2 2 2 2 2 3 3 2" xfId="9956"/>
    <cellStyle name="Header2 2 2 2 2 4 2" xfId="9957"/>
    <cellStyle name="Header2 2 2 2 2 7 3 2" xfId="9958"/>
    <cellStyle name="强调文字颜色 6 13 13" xfId="9959"/>
    <cellStyle name="Header2 2 2 2 3" xfId="9960"/>
    <cellStyle name="常规 2 2 2 19" xfId="9961"/>
    <cellStyle name="Header2 2 2 2 3 2" xfId="9962"/>
    <cellStyle name="Header2 2 2 2 3 2 2" xfId="9963"/>
    <cellStyle name="Header2 2 2 2 4" xfId="9964"/>
    <cellStyle name="Header2 2 2 2 4 2" xfId="9965"/>
    <cellStyle name="Header2 2 2 2 4 2 2" xfId="9966"/>
    <cellStyle name="强调文字颜色 5 10 2 4" xfId="9967"/>
    <cellStyle name="Header2 2 2 2 4 3 2" xfId="9968"/>
    <cellStyle name="Header2 2 2 2 5" xfId="9969"/>
    <cellStyle name="差 8 2 2" xfId="9970"/>
    <cellStyle name="Header2 2 2 2 5 2" xfId="9971"/>
    <cellStyle name="差 8 2 2 2" xfId="9972"/>
    <cellStyle name="注释 4 2 4" xfId="9973"/>
    <cellStyle name="Header2 2 2 2 6" xfId="9974"/>
    <cellStyle name="差 8 2 3" xfId="9975"/>
    <cellStyle name="Header2 2 2 2 6 2" xfId="9976"/>
    <cellStyle name="差 8 2 3 2" xfId="9977"/>
    <cellStyle name="注释 4 3 4" xfId="9978"/>
    <cellStyle name="Header2 2 2 2 7" xfId="9979"/>
    <cellStyle name="差 8 2 4" xfId="9980"/>
    <cellStyle name="Header2 2 2 2 7 2" xfId="9981"/>
    <cellStyle name="注释 4 4 4" xfId="9982"/>
    <cellStyle name="Header2 2 2 2 8" xfId="9983"/>
    <cellStyle name="差 8 2 5" xfId="9984"/>
    <cellStyle name="Header2 2 2 2 8 2" xfId="9985"/>
    <cellStyle name="标题 2 5 2 3" xfId="9986"/>
    <cellStyle name="注释 4 5 4" xfId="9987"/>
    <cellStyle name="Header2 2 2 2 9" xfId="9988"/>
    <cellStyle name="Header2 2 2 2 9 2" xfId="9989"/>
    <cellStyle name="标题 2 5 3 3" xfId="9990"/>
    <cellStyle name="注释 4 6 4" xfId="9991"/>
    <cellStyle name="Header2 2 2 3" xfId="9992"/>
    <cellStyle name="Header2 2 2 3 2" xfId="9993"/>
    <cellStyle name="Header2 2 2 3 2 2" xfId="9994"/>
    <cellStyle name="Header2 2 2 3 3" xfId="9995"/>
    <cellStyle name="Header2 2 2 3 3 2" xfId="9996"/>
    <cellStyle name="Header2 2 2 4" xfId="9997"/>
    <cellStyle name="Header2 2 2 4 2" xfId="9998"/>
    <cellStyle name="Header2 2 2 4 2 2" xfId="9999"/>
    <cellStyle name="Header2 2 2 4 3" xfId="10000"/>
    <cellStyle name="Header2 2 2 4 3 2" xfId="10001"/>
    <cellStyle name="Header2 2 2 5" xfId="10002"/>
    <cellStyle name="Header2 2 2 5 2" xfId="10003"/>
    <cellStyle name="Header2 2 2 6 2" xfId="10004"/>
    <cellStyle name="Header2 2 2 7" xfId="10005"/>
    <cellStyle name="Header2 2 2 7 2" xfId="10006"/>
    <cellStyle name="Header2 2 2 8" xfId="10007"/>
    <cellStyle name="Header2 2 2 8 2" xfId="10008"/>
    <cellStyle name="Header2 2 2 8 2 2" xfId="10009"/>
    <cellStyle name="Header2 2 2 8 3" xfId="10010"/>
    <cellStyle name="Header2 2 2 8 3 2" xfId="10011"/>
    <cellStyle name="Header2 2 2 9" xfId="10012"/>
    <cellStyle name="千位分隔 17 2" xfId="10013"/>
    <cellStyle name="千位分隔 22 2" xfId="10014"/>
    <cellStyle name="Header2 2 2 9 2" xfId="10015"/>
    <cellStyle name="千位分隔 17 2 2" xfId="10016"/>
    <cellStyle name="Header2 2 3 10" xfId="10017"/>
    <cellStyle name="Header2 4 2 2 2" xfId="10018"/>
    <cellStyle name="Header2 2 3 10 2" xfId="10019"/>
    <cellStyle name="Header2 4 2 2 2 2" xfId="10020"/>
    <cellStyle name="常规 2 2 7 4" xfId="10021"/>
    <cellStyle name="Header2 2 3 11" xfId="10022"/>
    <cellStyle name="Header2 4 2 2 3" xfId="10023"/>
    <cellStyle name="Header2 2 3 2 2" xfId="10024"/>
    <cellStyle name="Header2 2 3 2 2 2" xfId="10025"/>
    <cellStyle name="Header2 2 3 2 3" xfId="10026"/>
    <cellStyle name="Header2 2 3 2 3 2" xfId="10027"/>
    <cellStyle name="Header2 2 3 3" xfId="10028"/>
    <cellStyle name="Header2 2 3 3 2" xfId="10029"/>
    <cellStyle name="Header2 2 3 3 2 2" xfId="10030"/>
    <cellStyle name="常规 2 2 4 12" xfId="10031"/>
    <cellStyle name="Header2 2 3 3 3" xfId="10032"/>
    <cellStyle name="Header2 2 3 3 3 2" xfId="10033"/>
    <cellStyle name="Header2 2 3 6 2" xfId="10034"/>
    <cellStyle name="Header2 2 3 7 2" xfId="10035"/>
    <cellStyle name="Header2 2 3 7 2 2" xfId="10036"/>
    <cellStyle name="Header2 2 3 7 3" xfId="10037"/>
    <cellStyle name="Header2 2 3 7 3 2" xfId="10038"/>
    <cellStyle name="Header2 2 3 8" xfId="10039"/>
    <cellStyle name="Header2 2 3 8 2" xfId="10040"/>
    <cellStyle name="Header2 2 3 9" xfId="10041"/>
    <cellStyle name="千位分隔 18 2" xfId="10042"/>
    <cellStyle name="Header2 2 3 9 2" xfId="10043"/>
    <cellStyle name="Header2 2 4 2" xfId="10044"/>
    <cellStyle name="强调文字颜色 5 10 6 2" xfId="10045"/>
    <cellStyle name="Header2 2 4 2 2" xfId="10046"/>
    <cellStyle name="Header2 2 4 3 2" xfId="10047"/>
    <cellStyle name="Header2 2 5 2" xfId="10048"/>
    <cellStyle name="强调文字颜色 5 10 7 2" xfId="10049"/>
    <cellStyle name="Header2 2 5 2 2" xfId="10050"/>
    <cellStyle name="Header2 2 5 3" xfId="10051"/>
    <cellStyle name="Header2 2 5 3 2" xfId="10052"/>
    <cellStyle name="Header2 2 6" xfId="10053"/>
    <cellStyle name="强调文字颜色 5 10 8" xfId="10054"/>
    <cellStyle name="Header2 2 6 2" xfId="10055"/>
    <cellStyle name="Header2 2 7 2" xfId="10056"/>
    <cellStyle name="Header2 2 8" xfId="10057"/>
    <cellStyle name="Header2 2 8 2" xfId="10058"/>
    <cellStyle name="强调文字颜色 4 2 8" xfId="10059"/>
    <cellStyle name="Header2 2 9" xfId="10060"/>
    <cellStyle name="Header2 2 9 2" xfId="10061"/>
    <cellStyle name="强调文字颜色 4 3 8" xfId="10062"/>
    <cellStyle name="Header2 2 9 2 2" xfId="10063"/>
    <cellStyle name="Header2 2 9 3 2" xfId="10064"/>
    <cellStyle name="Header2 3 10" xfId="10065"/>
    <cellStyle name="Header2 3 10 2" xfId="10066"/>
    <cellStyle name="Header2 3 2" xfId="10067"/>
    <cellStyle name="强调文字颜色 5 11 4" xfId="10068"/>
    <cellStyle name="Header2 3 2 10" xfId="10069"/>
    <cellStyle name="Header2 3 2 10 2" xfId="10070"/>
    <cellStyle name="Header2 3 2 11" xfId="10071"/>
    <cellStyle name="Header2 3 2 2" xfId="10072"/>
    <cellStyle name="强调文字颜色 5 11 4 2" xfId="10073"/>
    <cellStyle name="Header2 3 2 2 2" xfId="10074"/>
    <cellStyle name="Header2 3 2 2 3" xfId="10075"/>
    <cellStyle name="Header2 3 2 3" xfId="10076"/>
    <cellStyle name="Header2 3 2 3 2" xfId="10077"/>
    <cellStyle name="Header2 3 2 3 2 2" xfId="10078"/>
    <cellStyle name="Header2 3 2 3 3" xfId="10079"/>
    <cellStyle name="Header2 3 2 3 3 2" xfId="10080"/>
    <cellStyle name="Header2 3 2 4" xfId="10081"/>
    <cellStyle name="Header2 3 2 4 2" xfId="10082"/>
    <cellStyle name="Header2 3 2 5" xfId="10083"/>
    <cellStyle name="Header2 3 2 5 2" xfId="10084"/>
    <cellStyle name="Header2 3 2 6" xfId="10085"/>
    <cellStyle name="Header2 3 2 7" xfId="10086"/>
    <cellStyle name="Header2 3 2 7 2" xfId="10087"/>
    <cellStyle name="Header2 3 2 7 3" xfId="10088"/>
    <cellStyle name="Header2 3 2 8" xfId="10089"/>
    <cellStyle name="Header2 3 2 8 2" xfId="10090"/>
    <cellStyle name="Header2 3 2 9" xfId="10091"/>
    <cellStyle name="Header2 3 2 9 2" xfId="10092"/>
    <cellStyle name="Header2 3 3 2" xfId="10093"/>
    <cellStyle name="强调文字颜色 5 11 5 2" xfId="10094"/>
    <cellStyle name="Header2 3 3 2 2" xfId="10095"/>
    <cellStyle name="差 3 8" xfId="10096"/>
    <cellStyle name="Header2 3 3 3" xfId="10097"/>
    <cellStyle name="Header2 3 3 3 2" xfId="10098"/>
    <cellStyle name="差 4 8" xfId="10099"/>
    <cellStyle name="Header2 3 4 2" xfId="10100"/>
    <cellStyle name="强调文字颜色 5 11 6 2" xfId="10101"/>
    <cellStyle name="输出 2 5" xfId="10102"/>
    <cellStyle name="Header2 3 4 2 2" xfId="10103"/>
    <cellStyle name="输出 2 5 2" xfId="10104"/>
    <cellStyle name="Header2 3 4 3" xfId="10105"/>
    <cellStyle name="输出 2 6" xfId="10106"/>
    <cellStyle name="Header2 3 5 2" xfId="10107"/>
    <cellStyle name="强调文字颜色 5 11 7 2" xfId="10108"/>
    <cellStyle name="输出 3 5" xfId="10109"/>
    <cellStyle name="Header2 3 6" xfId="10110"/>
    <cellStyle name="强调文字颜色 5 11 8" xfId="10111"/>
    <cellStyle name="Header2 3 6 2" xfId="10112"/>
    <cellStyle name="输出 4 5" xfId="10113"/>
    <cellStyle name="Header2 3 7" xfId="10114"/>
    <cellStyle name="强调文字颜色 5 11 9" xfId="10115"/>
    <cellStyle name="Header2 3 7 2" xfId="10116"/>
    <cellStyle name="输出 5 5" xfId="10117"/>
    <cellStyle name="Header2 3 8" xfId="10118"/>
    <cellStyle name="Header2 3 8 2" xfId="10119"/>
    <cellStyle name="强调文字颜色 5 2 8" xfId="10120"/>
    <cellStyle name="输出 6 5" xfId="10121"/>
    <cellStyle name="Header2 3 8 2 2" xfId="10122"/>
    <cellStyle name="强调文字颜色 5 2 8 2" xfId="10123"/>
    <cellStyle name="输出 6 5 2" xfId="10124"/>
    <cellStyle name="Header2 3 8 3" xfId="10125"/>
    <cellStyle name="强调文字颜色 5 2 9" xfId="10126"/>
    <cellStyle name="输出 6 6" xfId="10127"/>
    <cellStyle name="Header2 3 8 3 2" xfId="10128"/>
    <cellStyle name="输出 6 6 2" xfId="10129"/>
    <cellStyle name="Header2 3 9" xfId="10130"/>
    <cellStyle name="Header2 3 9 2" xfId="10131"/>
    <cellStyle name="强调文字颜色 5 3 8" xfId="10132"/>
    <cellStyle name="输出 7 5" xfId="10133"/>
    <cellStyle name="Header2 4" xfId="10134"/>
    <cellStyle name="Header2 4 2" xfId="10135"/>
    <cellStyle name="强调文字颜色 5 12 4" xfId="10136"/>
    <cellStyle name="Header2 4 2 2" xfId="10137"/>
    <cellStyle name="强调文字颜色 5 12 4 2" xfId="10138"/>
    <cellStyle name="Header2 4 2 2 3 2" xfId="10139"/>
    <cellStyle name="常规 2 2 8 4" xfId="10140"/>
    <cellStyle name="Header2 4 2 3" xfId="10141"/>
    <cellStyle name="Header2 4 2 3 2" xfId="10142"/>
    <cellStyle name="Header2 4 2 4" xfId="10143"/>
    <cellStyle name="Header2 4 2 4 2" xfId="10144"/>
    <cellStyle name="Header2 4 2 5" xfId="10145"/>
    <cellStyle name="Header2 4 2 5 2" xfId="10146"/>
    <cellStyle name="Header2 4 2 6" xfId="10147"/>
    <cellStyle name="Header2 4 2 7 2" xfId="10148"/>
    <cellStyle name="Header2 4 2 7 2 2" xfId="10149"/>
    <cellStyle name="差_账龄02. 5" xfId="10150"/>
    <cellStyle name="Header2 4 2 7 3" xfId="10151"/>
    <cellStyle name="Header2 4 2 7 3 2" xfId="10152"/>
    <cellStyle name="Header2 4 2 8" xfId="10153"/>
    <cellStyle name="Header2 4 2 8 2" xfId="10154"/>
    <cellStyle name="Header2 4 2 9" xfId="10155"/>
    <cellStyle name="Header2 4 2 9 2" xfId="10156"/>
    <cellStyle name="Header2 4 3 2" xfId="10157"/>
    <cellStyle name="强调文字颜色 5 12 5 2" xfId="10158"/>
    <cellStyle name="Header2 4 3 2 2" xfId="10159"/>
    <cellStyle name="Header2 4 3 3" xfId="10160"/>
    <cellStyle name="Header2 4 3 3 2" xfId="10161"/>
    <cellStyle name="Header2 4 4" xfId="10162"/>
    <cellStyle name="强调文字颜色 5 12 6" xfId="10163"/>
    <cellStyle name="Header2 4 4 2" xfId="10164"/>
    <cellStyle name="强调文字颜色 5 12 6 2" xfId="10165"/>
    <cellStyle name="Header2 4 4 3" xfId="10166"/>
    <cellStyle name="Header2 4 4 3 2" xfId="10167"/>
    <cellStyle name="Header2 4 5" xfId="10168"/>
    <cellStyle name="强调文字颜色 5 12 7" xfId="10169"/>
    <cellStyle name="Header2 4 5 2" xfId="10170"/>
    <cellStyle name="强调文字颜色 5 12 7 2" xfId="10171"/>
    <cellStyle name="Header2 4 6" xfId="10172"/>
    <cellStyle name="强调文字颜色 5 12 8" xfId="10173"/>
    <cellStyle name="Header2 4 6 2" xfId="10174"/>
    <cellStyle name="Header2 4 7" xfId="10175"/>
    <cellStyle name="强调文字颜色 5 12 9" xfId="10176"/>
    <cellStyle name="Header2 4 7 2" xfId="10177"/>
    <cellStyle name="Header2 4 8" xfId="10178"/>
    <cellStyle name="强调文字颜色 5 4 10" xfId="10179"/>
    <cellStyle name="Header2 4 8 2" xfId="10180"/>
    <cellStyle name="强调文字颜色 6 2 8" xfId="10181"/>
    <cellStyle name="Header2 4 8 2 2" xfId="10182"/>
    <cellStyle name="强调文字颜色 6 2 8 2" xfId="10183"/>
    <cellStyle name="Header2 4 8 3" xfId="10184"/>
    <cellStyle name="强调文字颜色 6 2 9" xfId="10185"/>
    <cellStyle name="Header2 4 8 3 2" xfId="10186"/>
    <cellStyle name="Header2 4 9" xfId="10187"/>
    <cellStyle name="强调文字颜色 5 4 11" xfId="10188"/>
    <cellStyle name="Header2 4 9 2" xfId="10189"/>
    <cellStyle name="强调文字颜色 6 3 8" xfId="10190"/>
    <cellStyle name="Header2 5" xfId="10191"/>
    <cellStyle name="Header2 5 10" xfId="10192"/>
    <cellStyle name="Header2 5 11" xfId="10193"/>
    <cellStyle name="Header2 5 2" xfId="10194"/>
    <cellStyle name="强调文字颜色 5 13 4" xfId="10195"/>
    <cellStyle name="输出 8 14" xfId="10196"/>
    <cellStyle name="Header2 5 2 2" xfId="10197"/>
    <cellStyle name="强调文字颜色 5 13 4 2" xfId="10198"/>
    <cellStyle name="输出 8 14 2" xfId="10199"/>
    <cellStyle name="Header2 5 2 2 2" xfId="10200"/>
    <cellStyle name="Header2 5 2 3" xfId="10201"/>
    <cellStyle name="Header2 5 2 3 2" xfId="10202"/>
    <cellStyle name="Header2 5 3 2" xfId="10203"/>
    <cellStyle name="强调文字颜色 5 13 5 2" xfId="10204"/>
    <cellStyle name="输出 8 15 2" xfId="10205"/>
    <cellStyle name="Header2 5 3 2 2" xfId="10206"/>
    <cellStyle name="Header2 5 3 3" xfId="10207"/>
    <cellStyle name="Header2 5 3 3 2" xfId="10208"/>
    <cellStyle name="Header2 5 4" xfId="10209"/>
    <cellStyle name="强调文字颜色 5 13 6" xfId="10210"/>
    <cellStyle name="输出 8 16" xfId="10211"/>
    <cellStyle name="Header2 5 4 2" xfId="10212"/>
    <cellStyle name="强调文字颜色 5 13 6 2" xfId="10213"/>
    <cellStyle name="Header2 5 5" xfId="10214"/>
    <cellStyle name="强调文字颜色 5 13 7" xfId="10215"/>
    <cellStyle name="输出 8 17" xfId="10216"/>
    <cellStyle name="Header2 5 5 2" xfId="10217"/>
    <cellStyle name="强调文字颜色 5 13 7 2" xfId="10218"/>
    <cellStyle name="Header2 5 6" xfId="10219"/>
    <cellStyle name="强调文字颜色 5 13 8" xfId="10220"/>
    <cellStyle name="输出 8 18" xfId="10221"/>
    <cellStyle name="Header2 5 6 2" xfId="10222"/>
    <cellStyle name="Header2 5 7" xfId="10223"/>
    <cellStyle name="强调文字颜色 5 13 9" xfId="10224"/>
    <cellStyle name="Header2 5 7 2" xfId="10225"/>
    <cellStyle name="Header2 5 7 2 2" xfId="10226"/>
    <cellStyle name="Header2 5 7 3" xfId="10227"/>
    <cellStyle name="Header2 5 7 3 2" xfId="10228"/>
    <cellStyle name="Header2 5 8" xfId="10229"/>
    <cellStyle name="Header2 5 8 2" xfId="10230"/>
    <cellStyle name="Header2 5 9" xfId="10231"/>
    <cellStyle name="Header2 5 9 2" xfId="10232"/>
    <cellStyle name="计算 10 6" xfId="10233"/>
    <cellStyle name="Header2 6" xfId="10234"/>
    <cellStyle name="Header2 6 2" xfId="10235"/>
    <cellStyle name="Header2 6 2 2" xfId="10236"/>
    <cellStyle name="Header2 6 3" xfId="10237"/>
    <cellStyle name="Header2 6 3 2" xfId="10238"/>
    <cellStyle name="Header2 7" xfId="10239"/>
    <cellStyle name="Header2 7 2" xfId="10240"/>
    <cellStyle name="Header2 8" xfId="10241"/>
    <cellStyle name="Header2 8 2" xfId="10242"/>
    <cellStyle name="Header2 9" xfId="10243"/>
    <cellStyle name="警告文本 10" xfId="10244"/>
    <cellStyle name="Header2 9 2" xfId="10245"/>
    <cellStyle name="警告文本 10 2" xfId="10246"/>
    <cellStyle name="样式 1 2 14" xfId="10247"/>
    <cellStyle name="Heading" xfId="10248"/>
    <cellStyle name="Hyperlink_AheadBehind.xls Chart 23" xfId="10249"/>
    <cellStyle name="强调文字颜色 2 11 10" xfId="10250"/>
    <cellStyle name="Input [yellow]" xfId="10251"/>
    <cellStyle name="left" xfId="10252"/>
    <cellStyle name="适中 11 2" xfId="10253"/>
    <cellStyle name="Millares [0]_laroux" xfId="10254"/>
    <cellStyle name="好 11" xfId="10255"/>
    <cellStyle name="Millares_laroux" xfId="10256"/>
    <cellStyle name="Milliers [0]_laroux" xfId="10257"/>
    <cellStyle name="Milliers_laroux" xfId="10258"/>
    <cellStyle name="常规 3 9 3" xfId="10259"/>
    <cellStyle name="Moneda [0]_laroux" xfId="10260"/>
    <cellStyle name="Moneda_laroux" xfId="10261"/>
    <cellStyle name="Mon閠aire [0]_laroux" xfId="10262"/>
    <cellStyle name="输入 6 16" xfId="10263"/>
    <cellStyle name="Mon閠aire_laroux" xfId="10264"/>
    <cellStyle name="New Times Roman" xfId="10265"/>
    <cellStyle name="强调文字颜色 1 6 9" xfId="10266"/>
    <cellStyle name="New Times Roman 2" xfId="10267"/>
    <cellStyle name="New Times Roman 2 2" xfId="10268"/>
    <cellStyle name="New Times Roman 2 3" xfId="10269"/>
    <cellStyle name="New Times Roman 3" xfId="10270"/>
    <cellStyle name="New Times Roman 3 2" xfId="10271"/>
    <cellStyle name="注释 18 12" xfId="10272"/>
    <cellStyle name="New Times Roman 4" xfId="10273"/>
    <cellStyle name="Non défini" xfId="10274"/>
    <cellStyle name="Normal" xfId="10275"/>
    <cellStyle name="Normal 3 2" xfId="10276"/>
    <cellStyle name="解释性文本 10 2 4" xfId="10277"/>
    <cellStyle name="警告文本 5 3 3" xfId="10278"/>
    <cellStyle name="Normal_ rislugp" xfId="10279"/>
    <cellStyle name="Normalny_Arkusz1" xfId="10280"/>
    <cellStyle name="Percent (0)" xfId="10281"/>
    <cellStyle name="Percent [2]" xfId="10282"/>
    <cellStyle name="periodBeginBalanceAmountCrD" xfId="10283"/>
    <cellStyle name="periodBeginBalanceAmountDrD" xfId="10284"/>
    <cellStyle name="Prefilled" xfId="10285"/>
    <cellStyle name="样式 1" xfId="10286"/>
    <cellStyle name="Prefilled 2" xfId="10287"/>
    <cellStyle name="样式 1 2" xfId="10288"/>
    <cellStyle name="price" xfId="10289"/>
    <cellStyle name="Red" xfId="10290"/>
    <cellStyle name="S0" xfId="10291"/>
    <cellStyle name="S1" xfId="10292"/>
    <cellStyle name="S2" xfId="10293"/>
    <cellStyle name="S3" xfId="10294"/>
    <cellStyle name="S4" xfId="10295"/>
    <cellStyle name="检查单元格 3 5 2" xfId="10296"/>
    <cellStyle name="S5" xfId="10297"/>
    <cellStyle name="S6" xfId="10298"/>
    <cellStyle name="section" xfId="10299"/>
    <cellStyle name="差_账龄09 2 3" xfId="10300"/>
    <cellStyle name="style" xfId="10301"/>
    <cellStyle name="style 2" xfId="10302"/>
    <cellStyle name="style1" xfId="10303"/>
    <cellStyle name="style2" xfId="10304"/>
    <cellStyle name="Tickmark" xfId="10305"/>
    <cellStyle name="title" xfId="10306"/>
    <cellStyle name="_laroux" xfId="10307"/>
    <cellStyle name="常规 3 2 5 2" xfId="10308"/>
    <cellStyle name="百分比 10 2 2" xfId="10309"/>
    <cellStyle name="输入 10 5 3" xfId="10310"/>
    <cellStyle name="百分比 10 2 2 2" xfId="10311"/>
    <cellStyle name="百分比 10 2 2 2 2" xfId="10312"/>
    <cellStyle name="百分比 10 2 2 3" xfId="10313"/>
    <cellStyle name="百分比 10 2 3" xfId="10314"/>
    <cellStyle name="输入 10 5 4" xfId="10315"/>
    <cellStyle name="百分比 10 2 3 2" xfId="10316"/>
    <cellStyle name="百分比 10 2 4" xfId="10317"/>
    <cellStyle name="输入 10 5 5" xfId="10318"/>
    <cellStyle name="百分比 10 3" xfId="10319"/>
    <cellStyle name="解释性文本 8 3 2" xfId="10320"/>
    <cellStyle name="百分比 10 3 2" xfId="10321"/>
    <cellStyle name="输入 10 6 3" xfId="10322"/>
    <cellStyle name="百分比 10 3 2 2" xfId="10323"/>
    <cellStyle name="百分比 10 3 2 2 2" xfId="10324"/>
    <cellStyle name="差 10 12" xfId="10325"/>
    <cellStyle name="百分比 10 3 2 3" xfId="10326"/>
    <cellStyle name="百分比 10 3 3" xfId="10327"/>
    <cellStyle name="输入 10 6 4" xfId="10328"/>
    <cellStyle name="百分比 10 3 3 2" xfId="10329"/>
    <cellStyle name="百分比 10 3 4" xfId="10330"/>
    <cellStyle name="输入 10 6 5" xfId="10331"/>
    <cellStyle name="百分比 10 4" xfId="10332"/>
    <cellStyle name="警告文本 8 2" xfId="10333"/>
    <cellStyle name="百分比 10 4 2" xfId="10334"/>
    <cellStyle name="警告文本 8 2 2" xfId="10335"/>
    <cellStyle name="百分比 10 4 2 2" xfId="10336"/>
    <cellStyle name="警告文本 8 2 2 2" xfId="10337"/>
    <cellStyle name="百分比 10 4 3" xfId="10338"/>
    <cellStyle name="警告文本 8 2 3" xfId="10339"/>
    <cellStyle name="百分比 10 5" xfId="10340"/>
    <cellStyle name="警告文本 8 3" xfId="10341"/>
    <cellStyle name="百分比 10 5 2" xfId="10342"/>
    <cellStyle name="解释性文本 13 2 3" xfId="10343"/>
    <cellStyle name="警告文本 8 3 2" xfId="10344"/>
    <cellStyle name="百分比 2" xfId="10345"/>
    <cellStyle name="百分比 2 10" xfId="10346"/>
    <cellStyle name="百分比 2 10 2" xfId="10347"/>
    <cellStyle name="计算 11 2 5" xfId="10348"/>
    <cellStyle name="百分比 2 10 5" xfId="10349"/>
    <cellStyle name="百分比 2 11" xfId="10350"/>
    <cellStyle name="百分比 2 12" xfId="10351"/>
    <cellStyle name="百分比 2 2" xfId="10352"/>
    <cellStyle name="计算 10 12" xfId="10353"/>
    <cellStyle name="百分比 2 2 2" xfId="10354"/>
    <cellStyle name="百分比 2 2 3" xfId="10355"/>
    <cellStyle name="百分比 2 2 4" xfId="10356"/>
    <cellStyle name="百分比 2 2 5" xfId="10357"/>
    <cellStyle name="百分比 2 2 6" xfId="10358"/>
    <cellStyle name="百分比 2 3" xfId="10359"/>
    <cellStyle name="计算 10 13" xfId="10360"/>
    <cellStyle name="百分比 2 3 10" xfId="10361"/>
    <cellStyle name="百分比 2 3 11" xfId="10362"/>
    <cellStyle name="百分比 2 3 12" xfId="10363"/>
    <cellStyle name="百分比 2 3 13" xfId="10364"/>
    <cellStyle name="百分比 2 3 14" xfId="10365"/>
    <cellStyle name="百分比 2 3 2" xfId="10366"/>
    <cellStyle name="百分比 2 3 3" xfId="10367"/>
    <cellStyle name="百分比 2 3 4" xfId="10368"/>
    <cellStyle name="百分比 2 3 5" xfId="10369"/>
    <cellStyle name="百分比 2 3 6" xfId="10370"/>
    <cellStyle name="百分比 2 3 7" xfId="10371"/>
    <cellStyle name="百分比 2 3 8" xfId="10372"/>
    <cellStyle name="百分比 2 4" xfId="10373"/>
    <cellStyle name="计算 10 14" xfId="10374"/>
    <cellStyle name="百分比 2 4 2" xfId="10375"/>
    <cellStyle name="百分比 2 5" xfId="10376"/>
    <cellStyle name="计算 10 15" xfId="10377"/>
    <cellStyle name="百分比 2 5 2" xfId="10378"/>
    <cellStyle name="百分比 2 5 3" xfId="10379"/>
    <cellStyle name="百分比 2 5 4" xfId="10380"/>
    <cellStyle name="百分比 2 5 5" xfId="10381"/>
    <cellStyle name="百分比 2 6" xfId="10382"/>
    <cellStyle name="常规 15 2" xfId="10383"/>
    <cellStyle name="常规 20 2" xfId="10384"/>
    <cellStyle name="计算 10 16" xfId="10385"/>
    <cellStyle name="百分比 2 6 2" xfId="10386"/>
    <cellStyle name="常规 15 2 2" xfId="10387"/>
    <cellStyle name="百分比 2 6 3" xfId="10388"/>
    <cellStyle name="百分比 2 6 4" xfId="10389"/>
    <cellStyle name="百分比 2 6 5" xfId="10390"/>
    <cellStyle name="好_账龄07 2 2" xfId="10391"/>
    <cellStyle name="好_账龄12 2 2" xfId="10392"/>
    <cellStyle name="百分比 2 7" xfId="10393"/>
    <cellStyle name="常规 15 3" xfId="10394"/>
    <cellStyle name="百分比 2 7 2" xfId="10395"/>
    <cellStyle name="百分比 2 7 3" xfId="10396"/>
    <cellStyle name="百分比 2 7 4" xfId="10397"/>
    <cellStyle name="百分比 2 7 5" xfId="10398"/>
    <cellStyle name="好_账龄07 3 2" xfId="10399"/>
    <cellStyle name="好_账龄12 3 2" xfId="10400"/>
    <cellStyle name="百分比 2 8" xfId="10401"/>
    <cellStyle name="常规 15 4" xfId="10402"/>
    <cellStyle name="百分比 2 8 2" xfId="10403"/>
    <cellStyle name="百分比 2 8 3" xfId="10404"/>
    <cellStyle name="百分比 2 8 4" xfId="10405"/>
    <cellStyle name="百分比 2 8 5" xfId="10406"/>
    <cellStyle name="好_账龄07 4 2" xfId="10407"/>
    <cellStyle name="百分比 2 9 2" xfId="10408"/>
    <cellStyle name="百分比 2 9 3" xfId="10409"/>
    <cellStyle name="百分比 2 9 4" xfId="10410"/>
    <cellStyle name="百分比 2 9 5" xfId="10411"/>
    <cellStyle name="百分比 3" xfId="10412"/>
    <cellStyle name="百分比 3 2" xfId="10413"/>
    <cellStyle name="百分比 3 2 2" xfId="10414"/>
    <cellStyle name="百分比 3 2 2 2 2" xfId="10415"/>
    <cellStyle name="百分比 3 2 2 2 2 2" xfId="10416"/>
    <cellStyle name="百分比 3 2 2 2 3" xfId="10417"/>
    <cellStyle name="百分比 3 2 2 3" xfId="10418"/>
    <cellStyle name="百分比 3 2 2 3 2" xfId="10419"/>
    <cellStyle name="百分比 3 2 2 4" xfId="10420"/>
    <cellStyle name="输入 9 4 2" xfId="10421"/>
    <cellStyle name="百分比 3 2 3" xfId="10422"/>
    <cellStyle name="百分比 3 2 3 2" xfId="10423"/>
    <cellStyle name="百分比 3 2 3 2 2" xfId="10424"/>
    <cellStyle name="百分比 3 2 3 2 2 2" xfId="10425"/>
    <cellStyle name="千位分隔 13" xfId="10426"/>
    <cellStyle name="百分比 3 2 3 2 3" xfId="10427"/>
    <cellStyle name="百分比 3 2 3 3" xfId="10428"/>
    <cellStyle name="百分比 3 2 3 4" xfId="10429"/>
    <cellStyle name="输入 9 5 2" xfId="10430"/>
    <cellStyle name="百分比 3 2 4" xfId="10431"/>
    <cellStyle name="百分比 3 2 4 2" xfId="10432"/>
    <cellStyle name="百分比 3 2 4 2 2" xfId="10433"/>
    <cellStyle name="百分比 3 2 4 3" xfId="10434"/>
    <cellStyle name="百分比 3 2 5" xfId="10435"/>
    <cellStyle name="百分比 3 2 5 2" xfId="10436"/>
    <cellStyle name="百分比 3 3" xfId="10437"/>
    <cellStyle name="百分比 3 3 2" xfId="10438"/>
    <cellStyle name="百分比 3 3 2 2" xfId="10439"/>
    <cellStyle name="百分比 3 3 2 2 2" xfId="10440"/>
    <cellStyle name="百分比 3 3 2 3" xfId="10441"/>
    <cellStyle name="百分比 3 3 3" xfId="10442"/>
    <cellStyle name="百分比 3 3 3 2" xfId="10443"/>
    <cellStyle name="百分比 3 3 4" xfId="10444"/>
    <cellStyle name="百分比 3 4" xfId="10445"/>
    <cellStyle name="百分比 3 4 2" xfId="10446"/>
    <cellStyle name="百分比 3 4 2 2" xfId="10447"/>
    <cellStyle name="百分比 3 4 2 2 2" xfId="10448"/>
    <cellStyle name="百分比 3 4 2 3" xfId="10449"/>
    <cellStyle name="百分比 3 4 3" xfId="10450"/>
    <cellStyle name="百分比 3 4 3 2" xfId="10451"/>
    <cellStyle name="百分比 3 4 4" xfId="10452"/>
    <cellStyle name="百分比 3 4 5" xfId="10453"/>
    <cellStyle name="百分比 3 5" xfId="10454"/>
    <cellStyle name="注释 8 2 2 2" xfId="10455"/>
    <cellStyle name="百分比 3 5 2" xfId="10456"/>
    <cellStyle name="百分比 3 5 2 2" xfId="10457"/>
    <cellStyle name="百分比 3 5 3" xfId="10458"/>
    <cellStyle name="百分比 3 6" xfId="10459"/>
    <cellStyle name="常规 16 2" xfId="10460"/>
    <cellStyle name="常规 21 2" xfId="10461"/>
    <cellStyle name="百分比 3 7" xfId="10462"/>
    <cellStyle name="常规 16 3" xfId="10463"/>
    <cellStyle name="百分比 3 8" xfId="10464"/>
    <cellStyle name="常规 16 4" xfId="10465"/>
    <cellStyle name="百分比 4" xfId="10466"/>
    <cellStyle name="百分比 4 2" xfId="10467"/>
    <cellStyle name="百分比 4 2 2" xfId="10468"/>
    <cellStyle name="百分比 4 2 2 2 2" xfId="10469"/>
    <cellStyle name="百分比 4 2 2 3" xfId="10470"/>
    <cellStyle name="百分比 4 2 3" xfId="10471"/>
    <cellStyle name="百分比 4 2 3 2" xfId="10472"/>
    <cellStyle name="百分比 4 2 4" xfId="10473"/>
    <cellStyle name="百分比 4 3 2 2 2" xfId="10474"/>
    <cellStyle name="百分比 4 3 2 3" xfId="10475"/>
    <cellStyle name="百分比 4 3 3 2" xfId="10476"/>
    <cellStyle name="百分比 4 3 4" xfId="10477"/>
    <cellStyle name="百分比 4 4 2 2" xfId="10478"/>
    <cellStyle name="百分比 4 4 3" xfId="10479"/>
    <cellStyle name="百分比 5" xfId="10480"/>
    <cellStyle name="百分比 5 2" xfId="10481"/>
    <cellStyle name="百分比 6" xfId="10482"/>
    <cellStyle name="捠壿_PRODUCT DETAIL Q1" xfId="10483"/>
    <cellStyle name="标题1 8" xfId="10484"/>
    <cellStyle name="编号" xfId="10485"/>
    <cellStyle name="编号 2" xfId="10486"/>
    <cellStyle name="编号 2 2" xfId="10487"/>
    <cellStyle name="编号 2 3" xfId="10488"/>
    <cellStyle name="编号 3" xfId="10489"/>
    <cellStyle name="输出 13 5 4 2" xfId="10490"/>
    <cellStyle name="编号 3 2" xfId="10491"/>
    <cellStyle name="编号 4" xfId="10492"/>
    <cellStyle name="标题 1 10" xfId="10493"/>
    <cellStyle name="标题 1 10 2 2 2" xfId="10494"/>
    <cellStyle name="标题 1 10 2 2 2 2" xfId="10495"/>
    <cellStyle name="标题 1 10 2 2 3" xfId="10496"/>
    <cellStyle name="标题 1 10 2 3" xfId="10497"/>
    <cellStyle name="标题 1 10 2 3 2" xfId="10498"/>
    <cellStyle name="标题 1 10 2 4" xfId="10499"/>
    <cellStyle name="标题 1 10 2 5" xfId="10500"/>
    <cellStyle name="标题 1 10 3 2 2" xfId="10501"/>
    <cellStyle name="标题 1 10 3 3" xfId="10502"/>
    <cellStyle name="标题 1 10 4 2" xfId="10503"/>
    <cellStyle name="标题 4 2 6" xfId="10504"/>
    <cellStyle name="标题 1 10 5" xfId="10505"/>
    <cellStyle name="标题 1 10 6" xfId="10506"/>
    <cellStyle name="标题 1 11" xfId="10507"/>
    <cellStyle name="标题 1 11 2 2 2" xfId="10508"/>
    <cellStyle name="常规 7 2 2 2 7" xfId="10509"/>
    <cellStyle name="警告文本 2 2 2 3" xfId="10510"/>
    <cellStyle name="输入 5 16" xfId="10511"/>
    <cellStyle name="标题 1 11 2 2 2 2" xfId="10512"/>
    <cellStyle name="标题 1 11 2 2 3" xfId="10513"/>
    <cellStyle name="标题 1 11 2 3" xfId="10514"/>
    <cellStyle name="标题 1 11 2 3 2" xfId="10515"/>
    <cellStyle name="标题 1 11 2 4" xfId="10516"/>
    <cellStyle name="标题 1 11 2 5" xfId="10517"/>
    <cellStyle name="标题 1 11 3 2" xfId="10518"/>
    <cellStyle name="千位分隔 10 4" xfId="10519"/>
    <cellStyle name="标题 1 11 3 2 2" xfId="10520"/>
    <cellStyle name="千位分隔 10 4 2" xfId="10521"/>
    <cellStyle name="标题 1 11 3 3" xfId="10522"/>
    <cellStyle name="千位分隔 10 5" xfId="10523"/>
    <cellStyle name="标题 1 11 4" xfId="10524"/>
    <cellStyle name="标题 1 11 4 2" xfId="10525"/>
    <cellStyle name="千位分隔 11 4" xfId="10526"/>
    <cellStyle name="标题 1 11 5" xfId="10527"/>
    <cellStyle name="标题 1 11 6" xfId="10528"/>
    <cellStyle name="标题 1 12" xfId="10529"/>
    <cellStyle name="标题 1 12 2 2" xfId="10530"/>
    <cellStyle name="标题 1 12 2 2 2" xfId="10531"/>
    <cellStyle name="常规 7 3 2 2 7" xfId="10532"/>
    <cellStyle name="标题 1 12 2 2 2 2" xfId="10533"/>
    <cellStyle name="强调文字颜色 2 13 8" xfId="10534"/>
    <cellStyle name="标题 1 12 2 2 3" xfId="10535"/>
    <cellStyle name="标题 1 12 2 3" xfId="10536"/>
    <cellStyle name="标题 1 12 2 3 2" xfId="10537"/>
    <cellStyle name="标题 1 12 2 4" xfId="10538"/>
    <cellStyle name="标题 1 12 2 5" xfId="10539"/>
    <cellStyle name="标题 1 12 3" xfId="10540"/>
    <cellStyle name="标题 1 12 3 2" xfId="10541"/>
    <cellStyle name="汇总 10 5" xfId="10542"/>
    <cellStyle name="标题 1 12 3 2 2" xfId="10543"/>
    <cellStyle name="汇总 10 5 2" xfId="10544"/>
    <cellStyle name="标题 1 12 3 3" xfId="10545"/>
    <cellStyle name="汇总 10 6" xfId="10546"/>
    <cellStyle name="标题 1 12 4" xfId="10547"/>
    <cellStyle name="标题 1 12 4 2" xfId="10548"/>
    <cellStyle name="汇总 11 5" xfId="10549"/>
    <cellStyle name="标题 1 12 5" xfId="10550"/>
    <cellStyle name="标题 1 12 6" xfId="10551"/>
    <cellStyle name="标题 1 13" xfId="10552"/>
    <cellStyle name="标题 1 13 2" xfId="10553"/>
    <cellStyle name="标题 1 13 2 2" xfId="10554"/>
    <cellStyle name="标题 1 13 2 2 2" xfId="10555"/>
    <cellStyle name="常规 7 4 2 2 7" xfId="10556"/>
    <cellStyle name="标题 1 13 2 2 2 2" xfId="10557"/>
    <cellStyle name="标题 1 13 2 2 3" xfId="10558"/>
    <cellStyle name="标题 1 13 2 3" xfId="10559"/>
    <cellStyle name="标题 1 13 2 3 2" xfId="10560"/>
    <cellStyle name="标题 1 13 2 4" xfId="10561"/>
    <cellStyle name="标题 1 13 2 5" xfId="10562"/>
    <cellStyle name="千位分隔 2 2 2 2 3 2" xfId="10563"/>
    <cellStyle name="标题 1 13 3" xfId="10564"/>
    <cellStyle name="标题 1 13 3 2 2" xfId="10565"/>
    <cellStyle name="标题 1 13 4" xfId="10566"/>
    <cellStyle name="标题 1 13 4 2" xfId="10567"/>
    <cellStyle name="标题 1 13 5" xfId="10568"/>
    <cellStyle name="链接单元格 2" xfId="10569"/>
    <cellStyle name="标题 1 13 6" xfId="10570"/>
    <cellStyle name="链接单元格 3" xfId="10571"/>
    <cellStyle name="标题 1 14" xfId="10572"/>
    <cellStyle name="标题 1 14 2" xfId="10573"/>
    <cellStyle name="输出 13 19" xfId="10574"/>
    <cellStyle name="标题 1 14 2 2" xfId="10575"/>
    <cellStyle name="标题 1 14 2 2 2" xfId="10576"/>
    <cellStyle name="标题 1 14 2 3" xfId="10577"/>
    <cellStyle name="标题 1 14 3" xfId="10578"/>
    <cellStyle name="标题 1 14 4" xfId="10579"/>
    <cellStyle name="标题 1 15" xfId="10580"/>
    <cellStyle name="标题 1 15 2" xfId="10581"/>
    <cellStyle name="标题 1 15 2 2" xfId="10582"/>
    <cellStyle name="标题 1 15 3" xfId="10583"/>
    <cellStyle name="标题 1 16" xfId="10584"/>
    <cellStyle name="标题 1 16 2" xfId="10585"/>
    <cellStyle name="标题 1 17" xfId="10586"/>
    <cellStyle name="标题 1 2 2 2" xfId="10587"/>
    <cellStyle name="标题 1 2 2 2 2" xfId="10588"/>
    <cellStyle name="标题 1 2 2 2 2 2" xfId="10589"/>
    <cellStyle name="标题 1 2 2 2 3" xfId="10590"/>
    <cellStyle name="标题 1 2 2 3" xfId="10591"/>
    <cellStyle name="标题 1 2 2 3 2" xfId="10592"/>
    <cellStyle name="标题 1 2 2 4" xfId="10593"/>
    <cellStyle name="标题 2 10 2 2 2" xfId="10594"/>
    <cellStyle name="标题 1 2 2 5" xfId="10595"/>
    <cellStyle name="标题 2 10 2 2 3" xfId="10596"/>
    <cellStyle name="标题 1 2 3" xfId="10597"/>
    <cellStyle name="标题 1 2 3 2" xfId="10598"/>
    <cellStyle name="标题 1 2 3 2 2" xfId="10599"/>
    <cellStyle name="标题 1 2 3 2 2 2" xfId="10600"/>
    <cellStyle name="标题 1 2 3 2 3" xfId="10601"/>
    <cellStyle name="标题 1 2 3 3" xfId="10602"/>
    <cellStyle name="标题 1 2 3 3 2" xfId="10603"/>
    <cellStyle name="标题 1 2 3 4" xfId="10604"/>
    <cellStyle name="标题 2 10 2 3 2" xfId="10605"/>
    <cellStyle name="标题 1 2 4" xfId="10606"/>
    <cellStyle name="强调文字颜色 4 2 2 3 2" xfId="10607"/>
    <cellStyle name="标题 1 2 4 2 2" xfId="10608"/>
    <cellStyle name="标题 1 2 4 2 2 2" xfId="10609"/>
    <cellStyle name="标题 1 2 4 2 3" xfId="10610"/>
    <cellStyle name="标题 1 2 4 3 2" xfId="10611"/>
    <cellStyle name="标题 1 2 4 4" xfId="10612"/>
    <cellStyle name="标题 1 2 5" xfId="10613"/>
    <cellStyle name="标题 1 2 5 2" xfId="10614"/>
    <cellStyle name="标题 1 2 5 2 2" xfId="10615"/>
    <cellStyle name="标题 1 2 5 3" xfId="10616"/>
    <cellStyle name="标题 1 2 6" xfId="10617"/>
    <cellStyle name="标题 1 2 6 2" xfId="10618"/>
    <cellStyle name="标题 1 2 7" xfId="10619"/>
    <cellStyle name="标题 1 2 8" xfId="10620"/>
    <cellStyle name="标题 1 3 2 2" xfId="10621"/>
    <cellStyle name="标题 1 3 2 2 2" xfId="10622"/>
    <cellStyle name="标题 1 3 2 2 2 2" xfId="10623"/>
    <cellStyle name="标题 1 3 2 2 3" xfId="10624"/>
    <cellStyle name="标题 1 3 2 3" xfId="10625"/>
    <cellStyle name="标题 1 3 2 3 2" xfId="10626"/>
    <cellStyle name="标题 1 3 2 4" xfId="10627"/>
    <cellStyle name="标题 2 10 3 2 2" xfId="10628"/>
    <cellStyle name="标题 1 3 2 5" xfId="10629"/>
    <cellStyle name="标题 1 3 3" xfId="10630"/>
    <cellStyle name="标题 1 3 3 2" xfId="10631"/>
    <cellStyle name="标题 1 3 3 2 2" xfId="10632"/>
    <cellStyle name="标题 1 3 3 3" xfId="10633"/>
    <cellStyle name="链接单元格 8 2 2 2" xfId="10634"/>
    <cellStyle name="标题 1 3 4" xfId="10635"/>
    <cellStyle name="标题 1 3 5" xfId="10636"/>
    <cellStyle name="标题 1 3 6" xfId="10637"/>
    <cellStyle name="标题 1 4 2" xfId="10638"/>
    <cellStyle name="常规 4 15" xfId="10639"/>
    <cellStyle name="常规 4 20" xfId="10640"/>
    <cellStyle name="标题 1 4 2 2" xfId="10641"/>
    <cellStyle name="标题 1 4 2 2 2" xfId="10642"/>
    <cellStyle name="标题 1 4 2 2 2 2" xfId="10643"/>
    <cellStyle name="标题 1 4 2 3" xfId="10644"/>
    <cellStyle name="标题 1 4 2 3 2" xfId="10645"/>
    <cellStyle name="标题 1 4 2 4" xfId="10646"/>
    <cellStyle name="标题 1 4 2 5" xfId="10647"/>
    <cellStyle name="标题 1 4 3" xfId="10648"/>
    <cellStyle name="常规 4 16" xfId="10649"/>
    <cellStyle name="常规 4 21" xfId="10650"/>
    <cellStyle name="标题 1 4 3 2" xfId="10651"/>
    <cellStyle name="标题 1 4 3 2 2" xfId="10652"/>
    <cellStyle name="标题 1 4 3 3" xfId="10653"/>
    <cellStyle name="标题 1 4 4" xfId="10654"/>
    <cellStyle name="常规 4 17" xfId="10655"/>
    <cellStyle name="标题 1 4 4 2" xfId="10656"/>
    <cellStyle name="标题 1 4 5" xfId="10657"/>
    <cellStyle name="差_黑猫焦化附注" xfId="10658"/>
    <cellStyle name="常规 4 18" xfId="10659"/>
    <cellStyle name="标题 1 4 6" xfId="10660"/>
    <cellStyle name="常规 4 19" xfId="10661"/>
    <cellStyle name="标题 1 5 2" xfId="10662"/>
    <cellStyle name="标题 1 5 2 2" xfId="10663"/>
    <cellStyle name="标题 1 5 2 3" xfId="10664"/>
    <cellStyle name="标题 1 5 2 4" xfId="10665"/>
    <cellStyle name="标题 1 5 2 5" xfId="10666"/>
    <cellStyle name="差 2" xfId="10667"/>
    <cellStyle name="标题 1 5 3" xfId="10668"/>
    <cellStyle name="标题 1 5 3 2" xfId="10669"/>
    <cellStyle name="标题 1 5 3 3" xfId="10670"/>
    <cellStyle name="标题 1 5 4" xfId="10671"/>
    <cellStyle name="标题 1 5 5" xfId="10672"/>
    <cellStyle name="标题 1 5 6" xfId="10673"/>
    <cellStyle name="标题 1 6" xfId="10674"/>
    <cellStyle name="标题 1 6 2" xfId="10675"/>
    <cellStyle name="标题 1 6 2 2" xfId="10676"/>
    <cellStyle name="输出 10 4" xfId="10677"/>
    <cellStyle name="标题 1 6 2 2 2" xfId="10678"/>
    <cellStyle name="输出 10 4 2" xfId="10679"/>
    <cellStyle name="标题 1 6 2 2 2 2" xfId="10680"/>
    <cellStyle name="常规 2 2 2 2 3 3" xfId="10681"/>
    <cellStyle name="输出 10 4 2 2" xfId="10682"/>
    <cellStyle name="标题 1 6 2 2 3" xfId="10683"/>
    <cellStyle name="输出 10 4 3" xfId="10684"/>
    <cellStyle name="标题 1 6 2 3" xfId="10685"/>
    <cellStyle name="输出 10 5" xfId="10686"/>
    <cellStyle name="标题 1 6 2 3 2" xfId="10687"/>
    <cellStyle name="输出 10 5 2" xfId="10688"/>
    <cellStyle name="标题 1 6 2 4" xfId="10689"/>
    <cellStyle name="输出 10 6" xfId="10690"/>
    <cellStyle name="标题 1 6 2 5" xfId="10691"/>
    <cellStyle name="输出 10 7" xfId="10692"/>
    <cellStyle name="标题 1 6 3" xfId="10693"/>
    <cellStyle name="标题 1 6 3 2" xfId="10694"/>
    <cellStyle name="输出 11 4" xfId="10695"/>
    <cellStyle name="标题 1 6 3 2 2" xfId="10696"/>
    <cellStyle name="输出 11 4 2" xfId="10697"/>
    <cellStyle name="标题 1 6 3 3" xfId="10698"/>
    <cellStyle name="输出 11 5" xfId="10699"/>
    <cellStyle name="标题 1 6 4" xfId="10700"/>
    <cellStyle name="标题 1 6 4 2" xfId="10701"/>
    <cellStyle name="输出 12 4" xfId="10702"/>
    <cellStyle name="标题 1 6 5" xfId="10703"/>
    <cellStyle name="标题 1 6 6" xfId="10704"/>
    <cellStyle name="标题 1 7" xfId="10705"/>
    <cellStyle name="标题 1 7 2" xfId="10706"/>
    <cellStyle name="标题 1 7 2 2" xfId="10707"/>
    <cellStyle name="标题 1 7 2 2 2" xfId="10708"/>
    <cellStyle name="标题 1 7 2 2 2 2" xfId="10709"/>
    <cellStyle name="标题 1 7 2 2 3" xfId="10710"/>
    <cellStyle name="标题 1 7 2 3 2" xfId="10711"/>
    <cellStyle name="标题 1 7 2 4" xfId="10712"/>
    <cellStyle name="标题 1 7 2 5" xfId="10713"/>
    <cellStyle name="标题 1 7 3" xfId="10714"/>
    <cellStyle name="标题 1 7 3 2" xfId="10715"/>
    <cellStyle name="标题 1 7 3 2 2" xfId="10716"/>
    <cellStyle name="标题 1 7 3 3" xfId="10717"/>
    <cellStyle name="标题 1 7 4" xfId="10718"/>
    <cellStyle name="标题 1 7 5" xfId="10719"/>
    <cellStyle name="标题 1 7 6" xfId="10720"/>
    <cellStyle name="标题 1 8" xfId="10721"/>
    <cellStyle name="标题 1 8 2" xfId="10722"/>
    <cellStyle name="标题 1 8 2 2" xfId="10723"/>
    <cellStyle name="标题 1 8 2 2 2" xfId="10724"/>
    <cellStyle name="标题 1 8 2 2 2 2" xfId="10725"/>
    <cellStyle name="标题 1 8 2 2 3" xfId="10726"/>
    <cellStyle name="标题 1 8 2 3 2" xfId="10727"/>
    <cellStyle name="标题 1 8 2 4" xfId="10728"/>
    <cellStyle name="标题 1 8 2 5" xfId="10729"/>
    <cellStyle name="标题 1 8 3" xfId="10730"/>
    <cellStyle name="标题 1 8 3 2" xfId="10731"/>
    <cellStyle name="标题 1 8 3 2 2" xfId="10732"/>
    <cellStyle name="标题 1 8 3 3" xfId="10733"/>
    <cellStyle name="标题 1 8 4" xfId="10734"/>
    <cellStyle name="标题 1 8 5" xfId="10735"/>
    <cellStyle name="标题 1 8 6" xfId="10736"/>
    <cellStyle name="标题 1 9" xfId="10737"/>
    <cellStyle name="标题 1 9 2" xfId="10738"/>
    <cellStyle name="常规 5 15" xfId="10739"/>
    <cellStyle name="常规 5 20" xfId="10740"/>
    <cellStyle name="标题 1 9 2 2" xfId="10741"/>
    <cellStyle name="标题 1 9 2 2 2" xfId="10742"/>
    <cellStyle name="计算 3 13" xfId="10743"/>
    <cellStyle name="标题 1 9 2 2 2 2" xfId="10744"/>
    <cellStyle name="标题 1 9 2 3" xfId="10745"/>
    <cellStyle name="标题 1 9 2 3 2" xfId="10746"/>
    <cellStyle name="标题 1 9 2 4" xfId="10747"/>
    <cellStyle name="标题 1 9 2 5" xfId="10748"/>
    <cellStyle name="标题 1 9 3" xfId="10749"/>
    <cellStyle name="常规 5 16" xfId="10750"/>
    <cellStyle name="常规 5 21" xfId="10751"/>
    <cellStyle name="标题 1 9 3 2" xfId="10752"/>
    <cellStyle name="标题 1 9 3 2 2" xfId="10753"/>
    <cellStyle name="计算 8 13" xfId="10754"/>
    <cellStyle name="标题 1 9 3 3" xfId="10755"/>
    <cellStyle name="标题 1 9 4" xfId="10756"/>
    <cellStyle name="常规 5 17" xfId="10757"/>
    <cellStyle name="常规 5 22" xfId="10758"/>
    <cellStyle name="标题 1 9 4 2" xfId="10759"/>
    <cellStyle name="标题 1 9 5" xfId="10760"/>
    <cellStyle name="常规 5 18" xfId="10761"/>
    <cellStyle name="常规 5 23" xfId="10762"/>
    <cellStyle name="标题 1 9 6" xfId="10763"/>
    <cellStyle name="常规 5 19" xfId="10764"/>
    <cellStyle name="常规 5 24" xfId="10765"/>
    <cellStyle name="标题 10" xfId="10766"/>
    <cellStyle name="输出 12 3 2 3" xfId="10767"/>
    <cellStyle name="标题 10 2" xfId="10768"/>
    <cellStyle name="标题 10 2 2" xfId="10769"/>
    <cellStyle name="标题 10 2 3" xfId="10770"/>
    <cellStyle name="标题 10 3" xfId="10771"/>
    <cellStyle name="标题 10 3 2" xfId="10772"/>
    <cellStyle name="标题 10 4" xfId="10773"/>
    <cellStyle name="标题 10 5" xfId="10774"/>
    <cellStyle name="标题 11" xfId="10775"/>
    <cellStyle name="标题 11 2" xfId="10776"/>
    <cellStyle name="标题 11 2 2" xfId="10777"/>
    <cellStyle name="好 8 4" xfId="10778"/>
    <cellStyle name="标题 11 2 3" xfId="10779"/>
    <cellStyle name="好 8 5" xfId="10780"/>
    <cellStyle name="标题 11 3" xfId="10781"/>
    <cellStyle name="标题 11 3 2" xfId="10782"/>
    <cellStyle name="好 9 4" xfId="10783"/>
    <cellStyle name="标题 11 4" xfId="10784"/>
    <cellStyle name="标题 11 5" xfId="10785"/>
    <cellStyle name="标题 4 2 3 2 2 2" xfId="10786"/>
    <cellStyle name="标题 12 2 3" xfId="10787"/>
    <cellStyle name="标题 12 3 2" xfId="10788"/>
    <cellStyle name="标题 12 4" xfId="10789"/>
    <cellStyle name="标题 12 5" xfId="10790"/>
    <cellStyle name="标题 13 2 2" xfId="10791"/>
    <cellStyle name="标题 13 2 3" xfId="10792"/>
    <cellStyle name="标题 13 3" xfId="10793"/>
    <cellStyle name="标题 13 3 2" xfId="10794"/>
    <cellStyle name="标题 13 4" xfId="10795"/>
    <cellStyle name="标题 13 5" xfId="10796"/>
    <cellStyle name="标题 14 2" xfId="10797"/>
    <cellStyle name="标题 14 2 2" xfId="10798"/>
    <cellStyle name="标题 14 2 3" xfId="10799"/>
    <cellStyle name="标题 14 3" xfId="10800"/>
    <cellStyle name="标题 14 3 2" xfId="10801"/>
    <cellStyle name="标题 14 4" xfId="10802"/>
    <cellStyle name="标题 14 5" xfId="10803"/>
    <cellStyle name="标题 2 8 2 2 2 2" xfId="10804"/>
    <cellStyle name="标题 15" xfId="10805"/>
    <cellStyle name="标题 20" xfId="10806"/>
    <cellStyle name="标题 15 2" xfId="10807"/>
    <cellStyle name="标题 15 2 2" xfId="10808"/>
    <cellStyle name="标题 15 2 3" xfId="10809"/>
    <cellStyle name="标题 15 3" xfId="10810"/>
    <cellStyle name="标题 15 3 2" xfId="10811"/>
    <cellStyle name="标题 15 4" xfId="10812"/>
    <cellStyle name="标题 15 5" xfId="10813"/>
    <cellStyle name="标题 16" xfId="10814"/>
    <cellStyle name="标题 16 2" xfId="10815"/>
    <cellStyle name="标题 16 2 2" xfId="10816"/>
    <cellStyle name="标题 16 2 3" xfId="10817"/>
    <cellStyle name="标题 16 3" xfId="10818"/>
    <cellStyle name="标题 16 3 2" xfId="10819"/>
    <cellStyle name="标题 16 4" xfId="10820"/>
    <cellStyle name="标题 16 5" xfId="10821"/>
    <cellStyle name="标题 17" xfId="10822"/>
    <cellStyle name="标题 18" xfId="10823"/>
    <cellStyle name="标题 19" xfId="10824"/>
    <cellStyle name="标题 2 10" xfId="10825"/>
    <cellStyle name="标题 2 10 2" xfId="10826"/>
    <cellStyle name="标题 2 10 2 2" xfId="10827"/>
    <cellStyle name="标题 2 10 2 2 2 2" xfId="10828"/>
    <cellStyle name="标题 2 10 2 3" xfId="10829"/>
    <cellStyle name="标题 2 10 2 4" xfId="10830"/>
    <cellStyle name="标题 2 10 2 5" xfId="10831"/>
    <cellStyle name="标题 2 10 3" xfId="10832"/>
    <cellStyle name="标题 2 10 3 2" xfId="10833"/>
    <cellStyle name="标题 2 10 3 3" xfId="10834"/>
    <cellStyle name="标题 2 10 4" xfId="10835"/>
    <cellStyle name="标题 2 10 4 2" xfId="10836"/>
    <cellStyle name="标题 2 10 5" xfId="10837"/>
    <cellStyle name="标题 2 10 6" xfId="10838"/>
    <cellStyle name="标题 2 11" xfId="10839"/>
    <cellStyle name="标题 2 11 2" xfId="10840"/>
    <cellStyle name="标题 2 11 2 2 2" xfId="10841"/>
    <cellStyle name="标题 2 2 2 4" xfId="10842"/>
    <cellStyle name="标题 2 11 2 2 2 2" xfId="10843"/>
    <cellStyle name="标题 2 11 2 2 3" xfId="10844"/>
    <cellStyle name="标题 2 2 2 5" xfId="10845"/>
    <cellStyle name="标题 2 11 2 3 2" xfId="10846"/>
    <cellStyle name="标题 2 2 3 4" xfId="10847"/>
    <cellStyle name="标题 2 11 2 5" xfId="10848"/>
    <cellStyle name="标题 2 11 3" xfId="10849"/>
    <cellStyle name="标题 2 11 3 2 2" xfId="10850"/>
    <cellStyle name="标题 2 3 2 4" xfId="10851"/>
    <cellStyle name="注释 2 5 5" xfId="10852"/>
    <cellStyle name="标题 2 11 4" xfId="10853"/>
    <cellStyle name="标题 2 11 5" xfId="10854"/>
    <cellStyle name="标题 2 11 6" xfId="10855"/>
    <cellStyle name="标题 2 12" xfId="10856"/>
    <cellStyle name="标题 2 12 2" xfId="10857"/>
    <cellStyle name="标题 2 12 2 2" xfId="10858"/>
    <cellStyle name="标题 2 12 2 2 2" xfId="10859"/>
    <cellStyle name="标题 3 2 2 4" xfId="10860"/>
    <cellStyle name="标题 2 12 2 2 2 2" xfId="10861"/>
    <cellStyle name="标题 2 12 2 3" xfId="10862"/>
    <cellStyle name="标题 2 12 2 3 2" xfId="10863"/>
    <cellStyle name="标题 3 2 3 4" xfId="10864"/>
    <cellStyle name="标题 2 12 2 4" xfId="10865"/>
    <cellStyle name="标题 2 12 2 5" xfId="10866"/>
    <cellStyle name="标题 2 12 3" xfId="10867"/>
    <cellStyle name="标题 2 12 3 2" xfId="10868"/>
    <cellStyle name="标题 2 12 3 2 2" xfId="10869"/>
    <cellStyle name="标题 3 3 2 4" xfId="10870"/>
    <cellStyle name="标题 2 12 3 3" xfId="10871"/>
    <cellStyle name="标题 2 12 4" xfId="10872"/>
    <cellStyle name="标题 2 12 4 2" xfId="10873"/>
    <cellStyle name="差 5 12" xfId="10874"/>
    <cellStyle name="标题 2 12 5" xfId="10875"/>
    <cellStyle name="标题 2 12 6" xfId="10876"/>
    <cellStyle name="标题 2 13" xfId="10877"/>
    <cellStyle name="标题 2 13 2" xfId="10878"/>
    <cellStyle name="标题 2 13 2 2" xfId="10879"/>
    <cellStyle name="标题 2 13 2 2 2" xfId="10880"/>
    <cellStyle name="标题 4 2 2 4" xfId="10881"/>
    <cellStyle name="标题 2 13 2 2 2 2" xfId="10882"/>
    <cellStyle name="常规 3 2 2 6" xfId="10883"/>
    <cellStyle name="标题 2 13 2 2 3" xfId="10884"/>
    <cellStyle name="标题 4 2 2 5" xfId="10885"/>
    <cellStyle name="标题 2 13 2 3" xfId="10886"/>
    <cellStyle name="标题 2 13 2 3 2" xfId="10887"/>
    <cellStyle name="标题 4 2 3 4" xfId="10888"/>
    <cellStyle name="标题 2 13 2 4" xfId="10889"/>
    <cellStyle name="标题 2 13 3" xfId="10890"/>
    <cellStyle name="标题 2 13 3 2" xfId="10891"/>
    <cellStyle name="标题 2 13 3 3" xfId="10892"/>
    <cellStyle name="标题 2 13 4" xfId="10893"/>
    <cellStyle name="标题 2 13 4 2" xfId="10894"/>
    <cellStyle name="标题 2 13 5" xfId="10895"/>
    <cellStyle name="标题 2 13 6" xfId="10896"/>
    <cellStyle name="标题 2 14" xfId="10897"/>
    <cellStyle name="标题 2 14 2" xfId="10898"/>
    <cellStyle name="标题 2 14 2 2" xfId="10899"/>
    <cellStyle name="标题 2 14 2 2 2" xfId="10900"/>
    <cellStyle name="标题 2 14 2 3" xfId="10901"/>
    <cellStyle name="标题 2 14 3" xfId="10902"/>
    <cellStyle name="标题 2 14 3 2" xfId="10903"/>
    <cellStyle name="标题 2 14 4" xfId="10904"/>
    <cellStyle name="标题 2 15" xfId="10905"/>
    <cellStyle name="标题 2 15 2" xfId="10906"/>
    <cellStyle name="标题 2 15 2 2" xfId="10907"/>
    <cellStyle name="标题 2 15 3" xfId="10908"/>
    <cellStyle name="标题 2 16" xfId="10909"/>
    <cellStyle name="标题 2 16 2" xfId="10910"/>
    <cellStyle name="标题 2 17" xfId="10911"/>
    <cellStyle name="标题 2 2 2 2 2" xfId="10912"/>
    <cellStyle name="标题 2 2 2 2 2 2" xfId="10913"/>
    <cellStyle name="标题 2 2 2 2 3" xfId="10914"/>
    <cellStyle name="标题 2 2 2 3" xfId="10915"/>
    <cellStyle name="标题 2 2 2 3 2" xfId="10916"/>
    <cellStyle name="标题 2 2 3 2 2" xfId="10917"/>
    <cellStyle name="标题 2 2 3 2 2 2" xfId="10918"/>
    <cellStyle name="警告文本 4 5" xfId="10919"/>
    <cellStyle name="标题 2 2 3 2 3" xfId="10920"/>
    <cellStyle name="标题 2 2 3 3" xfId="10921"/>
    <cellStyle name="标题 2 2 3 3 2" xfId="10922"/>
    <cellStyle name="标题 2 2 4 2 2" xfId="10923"/>
    <cellStyle name="标题 2 2 4 2 2 2" xfId="10924"/>
    <cellStyle name="标题 2 2 4 2 3" xfId="10925"/>
    <cellStyle name="标题 2 2 4 3 2" xfId="10926"/>
    <cellStyle name="标题 2 2 4 4" xfId="10927"/>
    <cellStyle name="标题 2 2 5 2" xfId="10928"/>
    <cellStyle name="标题 2 2 5 2 2" xfId="10929"/>
    <cellStyle name="标题 2 2 5 3" xfId="10930"/>
    <cellStyle name="标题 2 2 6" xfId="10931"/>
    <cellStyle name="标题 2 2 6 2" xfId="10932"/>
    <cellStyle name="标题 2 2 7" xfId="10933"/>
    <cellStyle name="标题 2 3 2" xfId="10934"/>
    <cellStyle name="千位分隔 5 2 2 3" xfId="10935"/>
    <cellStyle name="标题 2 3 2 2" xfId="10936"/>
    <cellStyle name="千位分隔 5 2 2 3 2" xfId="10937"/>
    <cellStyle name="注释 2 5 3" xfId="10938"/>
    <cellStyle name="标题 2 3 2 2 2" xfId="10939"/>
    <cellStyle name="千位分隔 5 2 2 3 2 2" xfId="10940"/>
    <cellStyle name="标题 2 3 2 2 2 2" xfId="10941"/>
    <cellStyle name="标题 2 3 2 2 3" xfId="10942"/>
    <cellStyle name="标题 2 3 2 3" xfId="10943"/>
    <cellStyle name="千位分隔 5 2 2 3 3" xfId="10944"/>
    <cellStyle name="注释 2 5 4" xfId="10945"/>
    <cellStyle name="标题 2 3 2 3 2" xfId="10946"/>
    <cellStyle name="标题 2 3 2 5" xfId="10947"/>
    <cellStyle name="标题 2 3 3" xfId="10948"/>
    <cellStyle name="千位分隔 5 2 2 4" xfId="10949"/>
    <cellStyle name="标题 2 3 3 2" xfId="10950"/>
    <cellStyle name="注释 2 6 3" xfId="10951"/>
    <cellStyle name="标题 2 3 3 2 2" xfId="10952"/>
    <cellStyle name="标题 2 3 3 3" xfId="10953"/>
    <cellStyle name="链接单元格 9 2 2 2" xfId="10954"/>
    <cellStyle name="注释 2 6 4" xfId="10955"/>
    <cellStyle name="标题 2 3 4" xfId="10956"/>
    <cellStyle name="千位分隔 5 2 2 5" xfId="10957"/>
    <cellStyle name="标题 2 3 5" xfId="10958"/>
    <cellStyle name="千位分隔 5 2 2 6" xfId="10959"/>
    <cellStyle name="标题 2 3 6" xfId="10960"/>
    <cellStyle name="千位分隔 5 2 2 7" xfId="10961"/>
    <cellStyle name="标题 2 4 2" xfId="10962"/>
    <cellStyle name="千位分隔 5 2 3 3" xfId="10963"/>
    <cellStyle name="标题 2 4 2 2" xfId="10964"/>
    <cellStyle name="注释 3 5 3" xfId="10965"/>
    <cellStyle name="标题 2 4 2 2 2 2" xfId="10966"/>
    <cellStyle name="标题 2 4 2 2 3" xfId="10967"/>
    <cellStyle name="标题 2 4 2 3" xfId="10968"/>
    <cellStyle name="注释 3 5 4" xfId="10969"/>
    <cellStyle name="标题 2 4 2 5" xfId="10970"/>
    <cellStyle name="标题 2 4 3" xfId="10971"/>
    <cellStyle name="标题 2 4 3 2" xfId="10972"/>
    <cellStyle name="注释 3 6 3" xfId="10973"/>
    <cellStyle name="标题 2 4 3 3" xfId="10974"/>
    <cellStyle name="注释 3 6 4" xfId="10975"/>
    <cellStyle name="标题 2 4 4" xfId="10976"/>
    <cellStyle name="标题 2 4 4 2" xfId="10977"/>
    <cellStyle name="输入 11 10" xfId="10978"/>
    <cellStyle name="标题 2 4 5" xfId="10979"/>
    <cellStyle name="标题 2 4 6" xfId="10980"/>
    <cellStyle name="标题 2 5" xfId="10981"/>
    <cellStyle name="标题 2 5 2" xfId="10982"/>
    <cellStyle name="千位分隔 5 2 4 3" xfId="10983"/>
    <cellStyle name="标题 2 5 2 2" xfId="10984"/>
    <cellStyle name="注释 4 5 3" xfId="10985"/>
    <cellStyle name="标题 2 5 2 2 2" xfId="10986"/>
    <cellStyle name="标题 2 5 2 2 2 2" xfId="10987"/>
    <cellStyle name="标题 2 5 2 2 3" xfId="10988"/>
    <cellStyle name="标题 2 5 2 5" xfId="10989"/>
    <cellStyle name="标题 2 5 3" xfId="10990"/>
    <cellStyle name="千位分隔 5 2 4 4" xfId="10991"/>
    <cellStyle name="标题 2 5 3 2" xfId="10992"/>
    <cellStyle name="注释 4 6 3" xfId="10993"/>
    <cellStyle name="标题 2 5 4" xfId="10994"/>
    <cellStyle name="千位分隔 5 2 4 5" xfId="10995"/>
    <cellStyle name="标题 2 5 4 2" xfId="10996"/>
    <cellStyle name="标题 2 5 5" xfId="10997"/>
    <cellStyle name="千位分隔 5 2 4 6" xfId="10998"/>
    <cellStyle name="标题 2 5 6" xfId="10999"/>
    <cellStyle name="千位分隔 5 2 4 7" xfId="11000"/>
    <cellStyle name="标题 2 6" xfId="11001"/>
    <cellStyle name="标题 2 6 2" xfId="11002"/>
    <cellStyle name="标题 2 6 2 2" xfId="11003"/>
    <cellStyle name="注释 5 5 3" xfId="11004"/>
    <cellStyle name="标题 2 6 2 2 2" xfId="11005"/>
    <cellStyle name="标题 2 6 2 2 2 2" xfId="11006"/>
    <cellStyle name="标题 2 6 2 2 3" xfId="11007"/>
    <cellStyle name="标题 2 6 2 3" xfId="11008"/>
    <cellStyle name="注释 5 5 4" xfId="11009"/>
    <cellStyle name="标题 2 6 2 3 2" xfId="11010"/>
    <cellStyle name="标题 2 6 2 4" xfId="11011"/>
    <cellStyle name="注释 5 5 5" xfId="11012"/>
    <cellStyle name="标题 2 6 2 5" xfId="11013"/>
    <cellStyle name="检查单元格 10" xfId="11014"/>
    <cellStyle name="标题 2 6 3" xfId="11015"/>
    <cellStyle name="标题 2 6 3 2" xfId="11016"/>
    <cellStyle name="注释 5 6 3" xfId="11017"/>
    <cellStyle name="标题 2 6 3 2 2" xfId="11018"/>
    <cellStyle name="标题 2 6 3 3" xfId="11019"/>
    <cellStyle name="注释 5 6 4" xfId="11020"/>
    <cellStyle name="标题 2 6 4" xfId="11021"/>
    <cellStyle name="标题 2 6 5" xfId="11022"/>
    <cellStyle name="标题 2 7" xfId="11023"/>
    <cellStyle name="标题 2 7 2" xfId="11024"/>
    <cellStyle name="标题 2 7 2 2" xfId="11025"/>
    <cellStyle name="注释 6 5 3" xfId="11026"/>
    <cellStyle name="标题 2 7 2 2 2" xfId="11027"/>
    <cellStyle name="标题 2 7 2 2 2 2" xfId="11028"/>
    <cellStyle name="标题 2 7 2 2 3" xfId="11029"/>
    <cellStyle name="标题 2 7 2 3 2" xfId="11030"/>
    <cellStyle name="标题 2 7 2 4" xfId="11031"/>
    <cellStyle name="注释 6 5 5" xfId="11032"/>
    <cellStyle name="标题 2 7 2 5" xfId="11033"/>
    <cellStyle name="标题 2 7 3" xfId="11034"/>
    <cellStyle name="标题 2 7 3 2" xfId="11035"/>
    <cellStyle name="输出 13 13" xfId="11036"/>
    <cellStyle name="注释 6 6 3" xfId="11037"/>
    <cellStyle name="标题 2 7 3 2 2" xfId="11038"/>
    <cellStyle name="输出 13 13 2" xfId="11039"/>
    <cellStyle name="标题 2 7 3 3" xfId="11040"/>
    <cellStyle name="输出 13 14" xfId="11041"/>
    <cellStyle name="注释 6 6 4" xfId="11042"/>
    <cellStyle name="标题 2 7 4" xfId="11043"/>
    <cellStyle name="标题 2 7 4 2" xfId="11044"/>
    <cellStyle name="标题 2 7 5" xfId="11045"/>
    <cellStyle name="标题 2 7 6" xfId="11046"/>
    <cellStyle name="标题 2 8" xfId="11047"/>
    <cellStyle name="好_12账龄分析 2 2 2" xfId="11048"/>
    <cellStyle name="标题 2 8 2" xfId="11049"/>
    <cellStyle name="好_12账龄分析 2 2 2 2" xfId="11050"/>
    <cellStyle name="标题 2 8 2 2" xfId="11051"/>
    <cellStyle name="注释 7 5 3" xfId="11052"/>
    <cellStyle name="标题 2 8 2 2 2" xfId="11053"/>
    <cellStyle name="标题 2 8 2 2 3" xfId="11054"/>
    <cellStyle name="标题 2 8 2 3 2" xfId="11055"/>
    <cellStyle name="标题 2 8 2 4" xfId="11056"/>
    <cellStyle name="注释 7 5 5" xfId="11057"/>
    <cellStyle name="标题 2 8 2 5" xfId="11058"/>
    <cellStyle name="解释性文本 10" xfId="11059"/>
    <cellStyle name="标题 2 8 3" xfId="11060"/>
    <cellStyle name="标题 2 8 3 2" xfId="11061"/>
    <cellStyle name="注释 7 6 3" xfId="11062"/>
    <cellStyle name="标题 2 8 3 2 2" xfId="11063"/>
    <cellStyle name="标题 2 8 3 3" xfId="11064"/>
    <cellStyle name="注释 7 6 4" xfId="11065"/>
    <cellStyle name="标题 2 8 4" xfId="11066"/>
    <cellStyle name="标题 2 8 4 2" xfId="11067"/>
    <cellStyle name="常规 18 11" xfId="11068"/>
    <cellStyle name="标题 2 8 5" xfId="11069"/>
    <cellStyle name="标题 2 8 6" xfId="11070"/>
    <cellStyle name="输出 4 2 2 2" xfId="11071"/>
    <cellStyle name="标题 2 9" xfId="11072"/>
    <cellStyle name="好_12账龄分析 2 2 3" xfId="11073"/>
    <cellStyle name="标题 2 9 2 2" xfId="11074"/>
    <cellStyle name="注释 8 5 3" xfId="11075"/>
    <cellStyle name="标题 2 9 2 2 2" xfId="11076"/>
    <cellStyle name="好 9 11" xfId="11077"/>
    <cellStyle name="标题 2 9 2 2 2 2" xfId="11078"/>
    <cellStyle name="检查单元格 14" xfId="11079"/>
    <cellStyle name="标题 2 9 2 2 3" xfId="11080"/>
    <cellStyle name="好 9 12" xfId="11081"/>
    <cellStyle name="标题 2 9 2 3" xfId="11082"/>
    <cellStyle name="注释 8 5 4" xfId="11083"/>
    <cellStyle name="标题 2 9 2 4" xfId="11084"/>
    <cellStyle name="注释 8 5 5" xfId="11085"/>
    <cellStyle name="标题 2 9 2 5" xfId="11086"/>
    <cellStyle name="标题 2 9 3 2" xfId="11087"/>
    <cellStyle name="注释 8 6 3" xfId="11088"/>
    <cellStyle name="标题 2 9 3 2 2" xfId="11089"/>
    <cellStyle name="千位分隔 5 11" xfId="11090"/>
    <cellStyle name="标题 2 9 3 3" xfId="11091"/>
    <cellStyle name="注释 8 6 4" xfId="11092"/>
    <cellStyle name="标题 2 9 4" xfId="11093"/>
    <cellStyle name="标题 2 9 4 2" xfId="11094"/>
    <cellStyle name="标题 2 9 5" xfId="11095"/>
    <cellStyle name="标题 2 9 6" xfId="11096"/>
    <cellStyle name="输出 4 2 3 2" xfId="11097"/>
    <cellStyle name="标题 3 10 2 2" xfId="11098"/>
    <cellStyle name="标题 3 10 2 2 2" xfId="11099"/>
    <cellStyle name="强调文字颜色 5 2 2 3" xfId="11100"/>
    <cellStyle name="标题 3 10 2 2 2 2" xfId="11101"/>
    <cellStyle name="强调文字颜色 5 2 2 3 2" xfId="11102"/>
    <cellStyle name="标题 3 10 2 2 3" xfId="11103"/>
    <cellStyle name="强调文字颜色 5 2 2 4" xfId="11104"/>
    <cellStyle name="标题 3 10 2 3" xfId="11105"/>
    <cellStyle name="标题 3 10 2 3 2" xfId="11106"/>
    <cellStyle name="强调文字颜色 5 2 3 3" xfId="11107"/>
    <cellStyle name="标题 3 10 2 4" xfId="11108"/>
    <cellStyle name="标题 3 10 2 5" xfId="11109"/>
    <cellStyle name="标题 3 10 3" xfId="11110"/>
    <cellStyle name="标题 3 10 3 2 2" xfId="11111"/>
    <cellStyle name="强调文字颜色 5 3 2 3" xfId="11112"/>
    <cellStyle name="标题 3 10 3 3" xfId="11113"/>
    <cellStyle name="标题 3 10 4" xfId="11114"/>
    <cellStyle name="标题 3 10 4 2" xfId="11115"/>
    <cellStyle name="标题 3 10 5" xfId="11116"/>
    <cellStyle name="标题 3 10 6" xfId="11117"/>
    <cellStyle name="标题 3 11 2" xfId="11118"/>
    <cellStyle name="标题 3 11 2 2" xfId="11119"/>
    <cellStyle name="标题 3 11 2 2 2" xfId="11120"/>
    <cellStyle name="强调文字颜色 6 2 2 3" xfId="11121"/>
    <cellStyle name="标题 3 11 2 2 2 2" xfId="11122"/>
    <cellStyle name="强调文字颜色 6 2 2 3 2" xfId="11123"/>
    <cellStyle name="标题 3 11 2 2 3" xfId="11124"/>
    <cellStyle name="强调文字颜色 6 2 2 4" xfId="11125"/>
    <cellStyle name="标题 3 11 2 3" xfId="11126"/>
    <cellStyle name="标题 3 11 2 3 2" xfId="11127"/>
    <cellStyle name="强调文字颜色 6 2 3 3" xfId="11128"/>
    <cellStyle name="标题 3 11 2 4" xfId="11129"/>
    <cellStyle name="标题 3 11 2 5" xfId="11130"/>
    <cellStyle name="标题 3 11 3 2" xfId="11131"/>
    <cellStyle name="标题 3 11 3 2 2" xfId="11132"/>
    <cellStyle name="强调文字颜色 6 3 2 3" xfId="11133"/>
    <cellStyle name="标题 3 11 3 3" xfId="11134"/>
    <cellStyle name="标题 3 11 4" xfId="11135"/>
    <cellStyle name="标题 3 11 4 2" xfId="11136"/>
    <cellStyle name="标题 3 11 5" xfId="11137"/>
    <cellStyle name="标题 3 11 6" xfId="11138"/>
    <cellStyle name="标题 3 12" xfId="11139"/>
    <cellStyle name="强调文字颜色 3 12 4 2" xfId="11140"/>
    <cellStyle name="标题 3 12 2" xfId="11141"/>
    <cellStyle name="标题 3 12 2 2" xfId="11142"/>
    <cellStyle name="标题 3 12 2 2 2" xfId="11143"/>
    <cellStyle name="标题 3 12 2 2 2 2" xfId="11144"/>
    <cellStyle name="标题 3 12 2 2 3" xfId="11145"/>
    <cellStyle name="标题 3 12 2 3" xfId="11146"/>
    <cellStyle name="标题 3 12 2 3 2" xfId="11147"/>
    <cellStyle name="标题 3 12 2 4" xfId="11148"/>
    <cellStyle name="标题 3 12 2 5" xfId="11149"/>
    <cellStyle name="标题 3 12 3" xfId="11150"/>
    <cellStyle name="标题 3 12 3 2 2" xfId="11151"/>
    <cellStyle name="注释 3 7" xfId="11152"/>
    <cellStyle name="标题 3 12 3 3" xfId="11153"/>
    <cellStyle name="标题 3 12 4" xfId="11154"/>
    <cellStyle name="标题 3 12 4 2" xfId="11155"/>
    <cellStyle name="标题 3 12 5" xfId="11156"/>
    <cellStyle name="标题 3 12 6" xfId="11157"/>
    <cellStyle name="标题 3 13" xfId="11158"/>
    <cellStyle name="标题 3 13 2" xfId="11159"/>
    <cellStyle name="标题 3 13 2 2" xfId="11160"/>
    <cellStyle name="标题 3 13 2 2 2" xfId="11161"/>
    <cellStyle name="标题 3 13 2 2 3" xfId="11162"/>
    <cellStyle name="标题 3 13 2 3" xfId="11163"/>
    <cellStyle name="标题 3 13 2 3 2" xfId="11164"/>
    <cellStyle name="标题 3 13 2 4" xfId="11165"/>
    <cellStyle name="标题 3 13 2 5" xfId="11166"/>
    <cellStyle name="标题 3 13 3" xfId="11167"/>
    <cellStyle name="标题 3 13 3 2 2" xfId="11168"/>
    <cellStyle name="标题 3 13 3 3" xfId="11169"/>
    <cellStyle name="标题 3 13 4" xfId="11170"/>
    <cellStyle name="标题 3 13 4 2" xfId="11171"/>
    <cellStyle name="输出 13 2 2 3" xfId="11172"/>
    <cellStyle name="标题 3 13 5" xfId="11173"/>
    <cellStyle name="标题 3 13 6" xfId="11174"/>
    <cellStyle name="标题 3 14" xfId="11175"/>
    <cellStyle name="标题 3 14 2" xfId="11176"/>
    <cellStyle name="标题 3 14 3" xfId="11177"/>
    <cellStyle name="标题 3 14 4" xfId="11178"/>
    <cellStyle name="标题 3 15 2" xfId="11179"/>
    <cellStyle name="标题 3 15 2 2" xfId="11180"/>
    <cellStyle name="标题 3 15 3" xfId="11181"/>
    <cellStyle name="标题 3 16" xfId="11182"/>
    <cellStyle name="标题 3 16 2" xfId="11183"/>
    <cellStyle name="标题 3 17" xfId="11184"/>
    <cellStyle name="标题 3 2 2" xfId="11185"/>
    <cellStyle name="标题 3 2 2 2" xfId="11186"/>
    <cellStyle name="标题 3 2 2 2 2" xfId="11187"/>
    <cellStyle name="标题 3 2 2 2 2 2" xfId="11188"/>
    <cellStyle name="标题 3 2 2 2 3" xfId="11189"/>
    <cellStyle name="标题 3 2 2 3" xfId="11190"/>
    <cellStyle name="标题 3 2 2 3 2" xfId="11191"/>
    <cellStyle name="差 3 2 4" xfId="11192"/>
    <cellStyle name="标题 3 2 3" xfId="11193"/>
    <cellStyle name="标题 3 2 3 2" xfId="11194"/>
    <cellStyle name="标题 3 2 3 2 2" xfId="11195"/>
    <cellStyle name="标题 3 2 3 2 2 2" xfId="11196"/>
    <cellStyle name="标题 3 2 3 2 3" xfId="11197"/>
    <cellStyle name="标题 3 2 3 3 2" xfId="11198"/>
    <cellStyle name="差 4 2 4" xfId="11199"/>
    <cellStyle name="标题 3 2 4" xfId="11200"/>
    <cellStyle name="标题 3 2 4 2" xfId="11201"/>
    <cellStyle name="标题 3 2 4 2 2" xfId="11202"/>
    <cellStyle name="标题 3 2 4 2 2 2" xfId="11203"/>
    <cellStyle name="标题 3 2 4 2 3" xfId="11204"/>
    <cellStyle name="标题 3 2 4 3" xfId="11205"/>
    <cellStyle name="标题 3 2 4 3 2" xfId="11206"/>
    <cellStyle name="差 5 2 4" xfId="11207"/>
    <cellStyle name="标题 3 2 4 4" xfId="11208"/>
    <cellStyle name="标题 3 2 5" xfId="11209"/>
    <cellStyle name="标题 3 2 5 2" xfId="11210"/>
    <cellStyle name="标题 3 2 5 2 2" xfId="11211"/>
    <cellStyle name="标题 3 2 6" xfId="11212"/>
    <cellStyle name="标题 3 2 7" xfId="11213"/>
    <cellStyle name="标题 3 2 8" xfId="11214"/>
    <cellStyle name="标题 3 3" xfId="11215"/>
    <cellStyle name="强调文字颜色 3 12 11" xfId="11216"/>
    <cellStyle name="标题 3 3 2" xfId="11217"/>
    <cellStyle name="标题 3 3 2 2" xfId="11218"/>
    <cellStyle name="标题 3 3 2 2 2" xfId="11219"/>
    <cellStyle name="标题 3 3 2 2 3" xfId="11220"/>
    <cellStyle name="标题 3 3 2 3" xfId="11221"/>
    <cellStyle name="标题 3 3 2 3 2" xfId="11222"/>
    <cellStyle name="标题 3 3 3" xfId="11223"/>
    <cellStyle name="标题 3 3 3 2" xfId="11224"/>
    <cellStyle name="标题 3 3 3 2 2" xfId="11225"/>
    <cellStyle name="计算 3 10" xfId="11226"/>
    <cellStyle name="标题 3 3 3 3" xfId="11227"/>
    <cellStyle name="标题 3 3 4" xfId="11228"/>
    <cellStyle name="标题 3 3 4 2" xfId="11229"/>
    <cellStyle name="标题 3 3 5" xfId="11230"/>
    <cellStyle name="标题 3 3 6" xfId="11231"/>
    <cellStyle name="标题 3 4" xfId="11232"/>
    <cellStyle name="强调文字颜色 3 12 12" xfId="11233"/>
    <cellStyle name="标题 3 4 2" xfId="11234"/>
    <cellStyle name="标题 3 4 2 2" xfId="11235"/>
    <cellStyle name="标题 3 4 2 2 2" xfId="11236"/>
    <cellStyle name="标题 3 4 2 2 2 2" xfId="11237"/>
    <cellStyle name="标题 3 4 2 2 3" xfId="11238"/>
    <cellStyle name="标题 3 4 2 3" xfId="11239"/>
    <cellStyle name="标题 3 4 2 4" xfId="11240"/>
    <cellStyle name="标题 3 4 3" xfId="11241"/>
    <cellStyle name="标题 3 4 3 2" xfId="11242"/>
    <cellStyle name="标题 3 4 3 2 2" xfId="11243"/>
    <cellStyle name="标题 3 4 3 3" xfId="11244"/>
    <cellStyle name="标题 3 4 4" xfId="11245"/>
    <cellStyle name="标题 3 4 4 2" xfId="11246"/>
    <cellStyle name="标题 3 4 5" xfId="11247"/>
    <cellStyle name="标题 3 4 6" xfId="11248"/>
    <cellStyle name="标题 3 5" xfId="11249"/>
    <cellStyle name="标题 3 5 2" xfId="11250"/>
    <cellStyle name="标题 3 5 2 2" xfId="11251"/>
    <cellStyle name="标题 3 5 2 2 2" xfId="11252"/>
    <cellStyle name="千位分隔 10 6" xfId="11253"/>
    <cellStyle name="标题 3 5 2 2 2 2" xfId="11254"/>
    <cellStyle name="标题 3 5 2 2 3" xfId="11255"/>
    <cellStyle name="千位分隔 10 7" xfId="11256"/>
    <cellStyle name="标题 3 5 2 3" xfId="11257"/>
    <cellStyle name="标题 3 5 2 3 2" xfId="11258"/>
    <cellStyle name="千位分隔 11 6" xfId="11259"/>
    <cellStyle name="标题 3 5 2 4" xfId="11260"/>
    <cellStyle name="标题 3 5 2 5" xfId="11261"/>
    <cellStyle name="标题 3 5 3" xfId="11262"/>
    <cellStyle name="标题 3 5 3 2" xfId="11263"/>
    <cellStyle name="标题 3 5 3 2 2" xfId="11264"/>
    <cellStyle name="汇总 10 7" xfId="11265"/>
    <cellStyle name="标题 3 5 3 3" xfId="11266"/>
    <cellStyle name="标题 3 5 4" xfId="11267"/>
    <cellStyle name="标题 3 5 4 2" xfId="11268"/>
    <cellStyle name="标题 3 5 5" xfId="11269"/>
    <cellStyle name="标题 3 5 6" xfId="11270"/>
    <cellStyle name="标题 3 6" xfId="11271"/>
    <cellStyle name="标题 3 6 2" xfId="11272"/>
    <cellStyle name="标题 3 6 2 2" xfId="11273"/>
    <cellStyle name="标题 3 6 2 2 2" xfId="11274"/>
    <cellStyle name="标题 3 6 2 2 2 2" xfId="11275"/>
    <cellStyle name="标题 3 6 2 2 3" xfId="11276"/>
    <cellStyle name="标题 3 6 2 3" xfId="11277"/>
    <cellStyle name="标题 3 6 2 3 2" xfId="11278"/>
    <cellStyle name="标题 3 6 2 4" xfId="11279"/>
    <cellStyle name="标题 3 6 2 5" xfId="11280"/>
    <cellStyle name="标题 3 6 3" xfId="11281"/>
    <cellStyle name="标题 3 6 3 2" xfId="11282"/>
    <cellStyle name="标题 3 6 3 2 2" xfId="11283"/>
    <cellStyle name="标题 3 6 3 3" xfId="11284"/>
    <cellStyle name="标题 3 6 4" xfId="11285"/>
    <cellStyle name="好 10 2" xfId="11286"/>
    <cellStyle name="标题 3 6 4 2" xfId="11287"/>
    <cellStyle name="好 10 2 2" xfId="11288"/>
    <cellStyle name="标题 3 6 5" xfId="11289"/>
    <cellStyle name="好 10 3" xfId="11290"/>
    <cellStyle name="标题 3 6 6" xfId="11291"/>
    <cellStyle name="好 10 4" xfId="11292"/>
    <cellStyle name="标题 3 7" xfId="11293"/>
    <cellStyle name="标题 3 7 2" xfId="11294"/>
    <cellStyle name="标题 3 7 2 2" xfId="11295"/>
    <cellStyle name="标题 3 7 2 2 2" xfId="11296"/>
    <cellStyle name="标题 3 7 2 2 2 2" xfId="11297"/>
    <cellStyle name="标题 3 7 2 2 3" xfId="11298"/>
    <cellStyle name="强调文字颜色 1 4 2" xfId="11299"/>
    <cellStyle name="标题 3 7 2 3" xfId="11300"/>
    <cellStyle name="标题 3 7 2 3 2" xfId="11301"/>
    <cellStyle name="标题 3 7 2 4" xfId="11302"/>
    <cellStyle name="标题 3 7 2 5" xfId="11303"/>
    <cellStyle name="标题 3 7 3" xfId="11304"/>
    <cellStyle name="标题 3 7 3 2" xfId="11305"/>
    <cellStyle name="标题 3 7 3 2 2" xfId="11306"/>
    <cellStyle name="标题 3 7 3 3" xfId="11307"/>
    <cellStyle name="标题 3 7 4" xfId="11308"/>
    <cellStyle name="好 11 2" xfId="11309"/>
    <cellStyle name="标题 3 7 4 2" xfId="11310"/>
    <cellStyle name="好 11 2 2" xfId="11311"/>
    <cellStyle name="标题 3 7 5" xfId="11312"/>
    <cellStyle name="好 11 3" xfId="11313"/>
    <cellStyle name="标题 3 7 6" xfId="11314"/>
    <cellStyle name="好 11 4" xfId="11315"/>
    <cellStyle name="标题 3 8" xfId="11316"/>
    <cellStyle name="好_12账龄分析 2 3 2" xfId="11317"/>
    <cellStyle name="标题 3 8 2" xfId="11318"/>
    <cellStyle name="标题 3 8 2 2" xfId="11319"/>
    <cellStyle name="标题 3 8 2 2 2" xfId="11320"/>
    <cellStyle name="标题 3 8 2 2 2 2" xfId="11321"/>
    <cellStyle name="标题 3 8 2 2 3" xfId="11322"/>
    <cellStyle name="标题 3 8 2 3" xfId="11323"/>
    <cellStyle name="标题 3 8 2 3 2" xfId="11324"/>
    <cellStyle name="标题 3 8 2 4" xfId="11325"/>
    <cellStyle name="标题 3 8 2 5" xfId="11326"/>
    <cellStyle name="标题 3 8 3" xfId="11327"/>
    <cellStyle name="标题 3 8 3 2" xfId="11328"/>
    <cellStyle name="注释 10 4" xfId="11329"/>
    <cellStyle name="标题 3 8 3 2 2" xfId="11330"/>
    <cellStyle name="注释 10 4 2" xfId="11331"/>
    <cellStyle name="标题 3 8 3 3" xfId="11332"/>
    <cellStyle name="注释 10 5" xfId="11333"/>
    <cellStyle name="标题 3 8 4" xfId="11334"/>
    <cellStyle name="好 12 2" xfId="11335"/>
    <cellStyle name="标题 3 8 4 2" xfId="11336"/>
    <cellStyle name="好 12 2 2" xfId="11337"/>
    <cellStyle name="注释 11 4" xfId="11338"/>
    <cellStyle name="标题 3 8 5" xfId="11339"/>
    <cellStyle name="好 12 3" xfId="11340"/>
    <cellStyle name="标题 3 8 6" xfId="11341"/>
    <cellStyle name="好 12 4" xfId="11342"/>
    <cellStyle name="输出 4 3 2 2" xfId="11343"/>
    <cellStyle name="标题 3 9" xfId="11344"/>
    <cellStyle name="标题 3 9 2 2" xfId="11345"/>
    <cellStyle name="标题 3 9 2 2 2" xfId="11346"/>
    <cellStyle name="标题 3 9 2 2 2 2" xfId="11347"/>
    <cellStyle name="常规 111 4" xfId="11348"/>
    <cellStyle name="注释 2 3" xfId="11349"/>
    <cellStyle name="标题 3 9 2 2 3" xfId="11350"/>
    <cellStyle name="标题 3 9 2 3" xfId="11351"/>
    <cellStyle name="标题 3 9 2 3 2" xfId="11352"/>
    <cellStyle name="标题 3 9 2 4" xfId="11353"/>
    <cellStyle name="标题 3 9 2 5" xfId="11354"/>
    <cellStyle name="标题 3 9 3" xfId="11355"/>
    <cellStyle name="标题 3 9 3 2" xfId="11356"/>
    <cellStyle name="标题 3 9 3 2 2" xfId="11357"/>
    <cellStyle name="标题 3 9 3 3" xfId="11358"/>
    <cellStyle name="标题 3 9 4" xfId="11359"/>
    <cellStyle name="好 13 2" xfId="11360"/>
    <cellStyle name="标题 3 9 4 2" xfId="11361"/>
    <cellStyle name="好 13 2 2" xfId="11362"/>
    <cellStyle name="标题 3 9 5" xfId="11363"/>
    <cellStyle name="好 13 3" xfId="11364"/>
    <cellStyle name="标题 3 9 6" xfId="11365"/>
    <cellStyle name="好 13 4" xfId="11366"/>
    <cellStyle name="输出 4 3 3 2" xfId="11367"/>
    <cellStyle name="标题 4 10" xfId="11368"/>
    <cellStyle name="标题 4 10 2" xfId="11369"/>
    <cellStyle name="标题 4 10 2 2 2" xfId="11370"/>
    <cellStyle name="标题 4 10 2 2 2 2" xfId="11371"/>
    <cellStyle name="常规 6 4 3 7" xfId="11372"/>
    <cellStyle name="标题 4 10 2 2 3" xfId="11373"/>
    <cellStyle name="标题 4 10 2 3" xfId="11374"/>
    <cellStyle name="标题 4 10 2 3 2" xfId="11375"/>
    <cellStyle name="标题 4 10 2 4" xfId="11376"/>
    <cellStyle name="标题 4 10 2 5" xfId="11377"/>
    <cellStyle name="样式 1_内部交易核对表(第一稿）" xfId="11378"/>
    <cellStyle name="标题 4 10 3" xfId="11379"/>
    <cellStyle name="标题 4 10 3 2 2" xfId="11380"/>
    <cellStyle name="标题 4 10 4" xfId="11381"/>
    <cellStyle name="标题 4 10 5" xfId="11382"/>
    <cellStyle name="标题 4 10 6" xfId="11383"/>
    <cellStyle name="标题 4 11" xfId="11384"/>
    <cellStyle name="标题 4 11 2" xfId="11385"/>
    <cellStyle name="标题 4 11 2 2" xfId="11386"/>
    <cellStyle name="标题 4 11 2 2 2" xfId="11387"/>
    <cellStyle name="标题 4 11 2 2 2 2" xfId="11388"/>
    <cellStyle name="标题 4 11 2 2 3" xfId="11389"/>
    <cellStyle name="标题 4 11 2 3" xfId="11390"/>
    <cellStyle name="标题 4 11 2 3 2" xfId="11391"/>
    <cellStyle name="标题 4 11 2 4" xfId="11392"/>
    <cellStyle name="标题 4 11 2 5" xfId="11393"/>
    <cellStyle name="标题 4 11 3" xfId="11394"/>
    <cellStyle name="标题 4 11 3 2" xfId="11395"/>
    <cellStyle name="标题 4 11 3 2 2" xfId="11396"/>
    <cellStyle name="标题 4 11 4" xfId="11397"/>
    <cellStyle name="标题 4 11 4 2" xfId="11398"/>
    <cellStyle name="标题 4 11 5" xfId="11399"/>
    <cellStyle name="标题 4 11 6" xfId="11400"/>
    <cellStyle name="标题 4 12" xfId="11401"/>
    <cellStyle name="标题 4 12 2" xfId="11402"/>
    <cellStyle name="标题 4 12 2 2" xfId="11403"/>
    <cellStyle name="标题 4 12 2 2 2" xfId="11404"/>
    <cellStyle name="标题 4 12 2 2 2 2" xfId="11405"/>
    <cellStyle name="标题 4 12 2 2 3" xfId="11406"/>
    <cellStyle name="标题 4 12 2 3" xfId="11407"/>
    <cellStyle name="标题 4 12 2 3 2" xfId="11408"/>
    <cellStyle name="标题 4 12 2 4" xfId="11409"/>
    <cellStyle name="标题 4 12 2 5" xfId="11410"/>
    <cellStyle name="标题 4 12 3" xfId="11411"/>
    <cellStyle name="标题 4 12 3 2" xfId="11412"/>
    <cellStyle name="标题 4 12 3 2 2" xfId="11413"/>
    <cellStyle name="标题 4 12 3 3" xfId="11414"/>
    <cellStyle name="标题 4 12 4" xfId="11415"/>
    <cellStyle name="注释 13 2 2" xfId="11416"/>
    <cellStyle name="标题 4 12 4 2" xfId="11417"/>
    <cellStyle name="注释 13 2 2 2" xfId="11418"/>
    <cellStyle name="标题 4 12 5" xfId="11419"/>
    <cellStyle name="注释 13 2 3" xfId="11420"/>
    <cellStyle name="标题 4 12 6" xfId="11421"/>
    <cellStyle name="注释 13 2 4" xfId="11422"/>
    <cellStyle name="标题 4 13" xfId="11423"/>
    <cellStyle name="标题 4 13 2" xfId="11424"/>
    <cellStyle name="标题 4 13 2 2 2" xfId="11425"/>
    <cellStyle name="标题 4 13 2 2 2 2" xfId="11426"/>
    <cellStyle name="标题 4 13 2 2 3" xfId="11427"/>
    <cellStyle name="标题 4 13 2 3 2" xfId="11428"/>
    <cellStyle name="标题 4 13 3 2 2" xfId="11429"/>
    <cellStyle name="标题 4 14" xfId="11430"/>
    <cellStyle name="标题 4 14 2" xfId="11431"/>
    <cellStyle name="标题 4 14 2 2" xfId="11432"/>
    <cellStyle name="输出 10 11" xfId="11433"/>
    <cellStyle name="标题 4 14 2 2 2" xfId="11434"/>
    <cellStyle name="输出 10 11 2" xfId="11435"/>
    <cellStyle name="标题 4 14 2 3" xfId="11436"/>
    <cellStyle name="输出 10 12" xfId="11437"/>
    <cellStyle name="标题 4 14 3" xfId="11438"/>
    <cellStyle name="标题 4 14 3 2" xfId="11439"/>
    <cellStyle name="标题 4 14 4" xfId="11440"/>
    <cellStyle name="注释 13 4 2" xfId="11441"/>
    <cellStyle name="标题 4 15" xfId="11442"/>
    <cellStyle name="标题 4 15 2" xfId="11443"/>
    <cellStyle name="标题 4 15 2 2" xfId="11444"/>
    <cellStyle name="计算 10 4 4" xfId="11445"/>
    <cellStyle name="注释 7 8" xfId="11446"/>
    <cellStyle name="标题 4 15 3" xfId="11447"/>
    <cellStyle name="标题 4 16" xfId="11448"/>
    <cellStyle name="标题 4 16 2" xfId="11449"/>
    <cellStyle name="输入 2 15" xfId="11450"/>
    <cellStyle name="标题 4 17" xfId="11451"/>
    <cellStyle name="标题 4 2" xfId="11452"/>
    <cellStyle name="标题 4 2 2" xfId="11453"/>
    <cellStyle name="标题 4 2 2 2" xfId="11454"/>
    <cellStyle name="标题 4 2 2 2 2" xfId="11455"/>
    <cellStyle name="标题 4 2 2 2 2 2" xfId="11456"/>
    <cellStyle name="标题 4 2 2 2 3" xfId="11457"/>
    <cellStyle name="标题 4 2 2 3" xfId="11458"/>
    <cellStyle name="标题 4 2 2 3 2" xfId="11459"/>
    <cellStyle name="常规 2 10 5" xfId="11460"/>
    <cellStyle name="标题 4 2 3" xfId="11461"/>
    <cellStyle name="标题 4 2 3 2" xfId="11462"/>
    <cellStyle name="标题 4 2 3 2 2" xfId="11463"/>
    <cellStyle name="标题 4 2 3 2 3" xfId="11464"/>
    <cellStyle name="标题 4 2 3 3 2" xfId="11465"/>
    <cellStyle name="标题 4 2 4" xfId="11466"/>
    <cellStyle name="标题 4 2 4 2" xfId="11467"/>
    <cellStyle name="标题 4 2 4 2 2" xfId="11468"/>
    <cellStyle name="标题 4 2 4 2 2 2" xfId="11469"/>
    <cellStyle name="标题 4 2 4 2 3" xfId="11470"/>
    <cellStyle name="标题 4 2 4 3" xfId="11471"/>
    <cellStyle name="标题 4 2 4 3 2" xfId="11472"/>
    <cellStyle name="标题 4 2 4 4" xfId="11473"/>
    <cellStyle name="标题 4 2 5" xfId="11474"/>
    <cellStyle name="标题 4 2 5 2" xfId="11475"/>
    <cellStyle name="标题 4 2 5 2 2" xfId="11476"/>
    <cellStyle name="标题 4 2 7" xfId="11477"/>
    <cellStyle name="标题 4 2 8" xfId="11478"/>
    <cellStyle name="标题 4 3" xfId="11479"/>
    <cellStyle name="标题 4 3 2" xfId="11480"/>
    <cellStyle name="标题 4 3 2 2" xfId="11481"/>
    <cellStyle name="标题 4 3 2 2 2" xfId="11482"/>
    <cellStyle name="好 12 8" xfId="11483"/>
    <cellStyle name="标题 4 3 2 2 2 2" xfId="11484"/>
    <cellStyle name="输出 3 11" xfId="11485"/>
    <cellStyle name="注释 17 4" xfId="11486"/>
    <cellStyle name="注释 22 4" xfId="11487"/>
    <cellStyle name="标题 4 3 3" xfId="11488"/>
    <cellStyle name="标题 4 3 3 2" xfId="11489"/>
    <cellStyle name="标题 4 3 3 2 2" xfId="11490"/>
    <cellStyle name="标题 4 3 4" xfId="11491"/>
    <cellStyle name="标题 4 3 4 2" xfId="11492"/>
    <cellStyle name="标题 4 3 5" xfId="11493"/>
    <cellStyle name="标题 4 3 6" xfId="11494"/>
    <cellStyle name="标题 4 4" xfId="11495"/>
    <cellStyle name="标题 4 4 2" xfId="11496"/>
    <cellStyle name="标题 4 4 2 2" xfId="11497"/>
    <cellStyle name="标题 4 4 2 2 2" xfId="11498"/>
    <cellStyle name="标题 4 4 2 3" xfId="11499"/>
    <cellStyle name="标题 4 4 2 3 2" xfId="11500"/>
    <cellStyle name="标题 4 4 2 4" xfId="11501"/>
    <cellStyle name="标题 4 4 2 5" xfId="11502"/>
    <cellStyle name="标题 4 4 3" xfId="11503"/>
    <cellStyle name="标题 4 4 3 2" xfId="11504"/>
    <cellStyle name="标题 4 4 3 2 2" xfId="11505"/>
    <cellStyle name="标题 4 4 3 3" xfId="11506"/>
    <cellStyle name="标题 4 4 4" xfId="11507"/>
    <cellStyle name="标题 4 4 4 2" xfId="11508"/>
    <cellStyle name="标题 4 4 5" xfId="11509"/>
    <cellStyle name="标题 4 4 6" xfId="11510"/>
    <cellStyle name="标题 4 5" xfId="11511"/>
    <cellStyle name="标题 4 5 2" xfId="11512"/>
    <cellStyle name="标题 4 5 2 2" xfId="11513"/>
    <cellStyle name="标题 4 5 2 2 2" xfId="11514"/>
    <cellStyle name="标题 4 5 2 2 2 2" xfId="11515"/>
    <cellStyle name="千位分隔 2 8 4" xfId="11516"/>
    <cellStyle name="标题 4 5 2 3" xfId="11517"/>
    <cellStyle name="标题 4 5 2 3 2" xfId="11518"/>
    <cellStyle name="标题 4 5 2 4" xfId="11519"/>
    <cellStyle name="标题 4 5 2 5" xfId="11520"/>
    <cellStyle name="标题 4 5 3" xfId="11521"/>
    <cellStyle name="标题 4 5 3 2" xfId="11522"/>
    <cellStyle name="标题 4 5 3 2 2" xfId="11523"/>
    <cellStyle name="标题 4 5 3 3" xfId="11524"/>
    <cellStyle name="标题 4 5 4" xfId="11525"/>
    <cellStyle name="标题 4 5 4 2" xfId="11526"/>
    <cellStyle name="标题 4 5 5" xfId="11527"/>
    <cellStyle name="标题 4 5 6" xfId="11528"/>
    <cellStyle name="标题 4 6" xfId="11529"/>
    <cellStyle name="标题 4 6 2" xfId="11530"/>
    <cellStyle name="标题 4 6 2 2" xfId="11531"/>
    <cellStyle name="标题 4 6 2 2 2" xfId="11532"/>
    <cellStyle name="标题 4 6 2 2 2 2" xfId="11533"/>
    <cellStyle name="常规 5 4 3 5" xfId="11534"/>
    <cellStyle name="标题 4 6 2 3" xfId="11535"/>
    <cellStyle name="标题 4 6 2 3 2" xfId="11536"/>
    <cellStyle name="差 10 9" xfId="11537"/>
    <cellStyle name="标题 4 6 2 4" xfId="11538"/>
    <cellStyle name="标题 4 6 2 5" xfId="11539"/>
    <cellStyle name="标题 4 6 3" xfId="11540"/>
    <cellStyle name="标题 4 6 3 2" xfId="11541"/>
    <cellStyle name="标题 4 6 3 2 2" xfId="11542"/>
    <cellStyle name="标题 4 6 3 3" xfId="11543"/>
    <cellStyle name="标题 4 6 4" xfId="11544"/>
    <cellStyle name="标题 4 6 4 2" xfId="11545"/>
    <cellStyle name="标题 4 6 5" xfId="11546"/>
    <cellStyle name="标题 4 6 6" xfId="11547"/>
    <cellStyle name="标题 4 7" xfId="11548"/>
    <cellStyle name="标题 4 7 2" xfId="11549"/>
    <cellStyle name="标题 4 7 2 2" xfId="11550"/>
    <cellStyle name="标题 4 7 2 2 2" xfId="11551"/>
    <cellStyle name="标题 4 7 2 2 2 2" xfId="11552"/>
    <cellStyle name="标题 4 7 2 3" xfId="11553"/>
    <cellStyle name="标题 4 7 2 3 2" xfId="11554"/>
    <cellStyle name="标题 4 7 2 4" xfId="11555"/>
    <cellStyle name="标题 4 7 2 5" xfId="11556"/>
    <cellStyle name="标题 4 7 3" xfId="11557"/>
    <cellStyle name="标题 4 7 3 2" xfId="11558"/>
    <cellStyle name="标题 4 7 3 2 2" xfId="11559"/>
    <cellStyle name="标题 4 7 3 3" xfId="11560"/>
    <cellStyle name="标题 4 7 4" xfId="11561"/>
    <cellStyle name="标题 4 7 4 2" xfId="11562"/>
    <cellStyle name="标题 4 7 5" xfId="11563"/>
    <cellStyle name="标题 4 7 6" xfId="11564"/>
    <cellStyle name="标题 4 8" xfId="11565"/>
    <cellStyle name="标题 4 8 2" xfId="11566"/>
    <cellStyle name="标题 4 8 2 2" xfId="11567"/>
    <cellStyle name="标题 4 8 2 2 2" xfId="11568"/>
    <cellStyle name="标题 4 8 2 2 2 2" xfId="11569"/>
    <cellStyle name="标题 4 8 3" xfId="11570"/>
    <cellStyle name="标题 4 8 3 2" xfId="11571"/>
    <cellStyle name="标题 4 8 3 2 2" xfId="11572"/>
    <cellStyle name="标题 4 8 4" xfId="11573"/>
    <cellStyle name="标题 4 8 4 2" xfId="11574"/>
    <cellStyle name="标题 4 8 5" xfId="11575"/>
    <cellStyle name="标题 4 8 6" xfId="11576"/>
    <cellStyle name="输出 4 4 2 2" xfId="11577"/>
    <cellStyle name="标题 4 9" xfId="11578"/>
    <cellStyle name="标题 4 9 2 2" xfId="11579"/>
    <cellStyle name="标题 4 9 2 2 2" xfId="11580"/>
    <cellStyle name="标题 4 9 2 2 2 2" xfId="11581"/>
    <cellStyle name="标题 4 9 2 2 3" xfId="11582"/>
    <cellStyle name="标题 4 9 2 3" xfId="11583"/>
    <cellStyle name="标题 4 9 2 3 2" xfId="11584"/>
    <cellStyle name="标题 4 9 2 5" xfId="11585"/>
    <cellStyle name="标题 4 9 3" xfId="11586"/>
    <cellStyle name="标题 4 9 3 2" xfId="11587"/>
    <cellStyle name="标题 4 9 3 3" xfId="11588"/>
    <cellStyle name="标题 4 9 4" xfId="11589"/>
    <cellStyle name="标题 4 9 4 2" xfId="11590"/>
    <cellStyle name="标题 4 9 5" xfId="11591"/>
    <cellStyle name="标题 4 9 6" xfId="11592"/>
    <cellStyle name="输出 4 4 3 2" xfId="11593"/>
    <cellStyle name="标题 5 2" xfId="11594"/>
    <cellStyle name="标题 5 2 2" xfId="11595"/>
    <cellStyle name="标题 5 2 3" xfId="11596"/>
    <cellStyle name="标题 5 3" xfId="11597"/>
    <cellStyle name="标题 5 3 2" xfId="11598"/>
    <cellStyle name="标题 5 4" xfId="11599"/>
    <cellStyle name="标题 5 4 2" xfId="11600"/>
    <cellStyle name="标题 5 5" xfId="11601"/>
    <cellStyle name="标题 5 6" xfId="11602"/>
    <cellStyle name="标题 5 7" xfId="11603"/>
    <cellStyle name="标题 5 8" xfId="11604"/>
    <cellStyle name="标题 5 9" xfId="11605"/>
    <cellStyle name="标题 6 2" xfId="11606"/>
    <cellStyle name="标题 6 2 2" xfId="11607"/>
    <cellStyle name="标题 6 2 3" xfId="11608"/>
    <cellStyle name="汇总 11 2" xfId="11609"/>
    <cellStyle name="标题 6 3" xfId="11610"/>
    <cellStyle name="标题 6 3 2" xfId="11611"/>
    <cellStyle name="标题 6 4" xfId="11612"/>
    <cellStyle name="标题 6 5" xfId="11613"/>
    <cellStyle name="标题 7 2" xfId="11614"/>
    <cellStyle name="标题 7 3" xfId="11615"/>
    <cellStyle name="标题 7 3 2" xfId="11616"/>
    <cellStyle name="标题 7 4" xfId="11617"/>
    <cellStyle name="标题 7 5" xfId="11618"/>
    <cellStyle name="标题 8 2" xfId="11619"/>
    <cellStyle name="常规 16 2 2 2" xfId="11620"/>
    <cellStyle name="强调文字颜色 3 13 10" xfId="11621"/>
    <cellStyle name="标题 8 2 2" xfId="11622"/>
    <cellStyle name="常规 16 2 2 2 2" xfId="11623"/>
    <cellStyle name="标题 8 2 3" xfId="11624"/>
    <cellStyle name="强调文字颜色 5 13 2 2 2" xfId="11625"/>
    <cellStyle name="标题 8 3" xfId="11626"/>
    <cellStyle name="常规 16 2 2 3" xfId="11627"/>
    <cellStyle name="强调文字颜色 3 13 11" xfId="11628"/>
    <cellStyle name="标题 8 3 2" xfId="11629"/>
    <cellStyle name="标题 8 4" xfId="11630"/>
    <cellStyle name="常规 16 2 2 4" xfId="11631"/>
    <cellStyle name="强调文字颜色 3 13 12" xfId="11632"/>
    <cellStyle name="标题 8 5" xfId="11633"/>
    <cellStyle name="常规 16 2 2 5" xfId="11634"/>
    <cellStyle name="强调文字颜色 3 13 13" xfId="11635"/>
    <cellStyle name="标题 9 2" xfId="11636"/>
    <cellStyle name="常规 16 2 3 2" xfId="11637"/>
    <cellStyle name="标题 9 2 2" xfId="11638"/>
    <cellStyle name="计算 6 11" xfId="11639"/>
    <cellStyle name="标题 9 2 3" xfId="11640"/>
    <cellStyle name="计算 6 12" xfId="11641"/>
    <cellStyle name="强调文字颜色 5 13 3 2 2" xfId="11642"/>
    <cellStyle name="标题 9 3" xfId="11643"/>
    <cellStyle name="常规 16 2 3 3" xfId="11644"/>
    <cellStyle name="标题 9 3 2" xfId="11645"/>
    <cellStyle name="标题 9 4" xfId="11646"/>
    <cellStyle name="标题 9 5" xfId="11647"/>
    <cellStyle name="标题1" xfId="11648"/>
    <cellStyle name="标题1 2" xfId="11649"/>
    <cellStyle name="标题1 2 2" xfId="11650"/>
    <cellStyle name="标题1 2 2 2" xfId="11651"/>
    <cellStyle name="好 8 10" xfId="11652"/>
    <cellStyle name="标题1 3" xfId="11653"/>
    <cellStyle name="标题1 3 2" xfId="11654"/>
    <cellStyle name="标题1 3 2 2" xfId="11655"/>
    <cellStyle name="千位分隔 4 10" xfId="11656"/>
    <cellStyle name="标题1 4" xfId="11657"/>
    <cellStyle name="标题1 4 2" xfId="11658"/>
    <cellStyle name="标题1 4 2 2" xfId="11659"/>
    <cellStyle name="汇总 4 11" xfId="11660"/>
    <cellStyle name="标题1 5" xfId="11661"/>
    <cellStyle name="标题1 5 2" xfId="11662"/>
    <cellStyle name="标题1 5 2 2" xfId="11663"/>
    <cellStyle name="汇总 9 11" xfId="11664"/>
    <cellStyle name="链接单元格 2 8" xfId="11665"/>
    <cellStyle name="标题1 6" xfId="11666"/>
    <cellStyle name="标题1 6 2" xfId="11667"/>
    <cellStyle name="标题1 6 2 2" xfId="11668"/>
    <cellStyle name="标题1 7" xfId="11669"/>
    <cellStyle name="标题1 7 2" xfId="11670"/>
    <cellStyle name="标题1 9" xfId="11671"/>
    <cellStyle name="强调文字颜色 1 14 2" xfId="11672"/>
    <cellStyle name="部门" xfId="11673"/>
    <cellStyle name="部门 2" xfId="11674"/>
    <cellStyle name="部门 2 2" xfId="11675"/>
    <cellStyle name="部门 2 2 2" xfId="11676"/>
    <cellStyle name="部门 3" xfId="11677"/>
    <cellStyle name="部门 3 2" xfId="11678"/>
    <cellStyle name="部门 3 2 2" xfId="11679"/>
    <cellStyle name="部门 4" xfId="11680"/>
    <cellStyle name="部门 4 2" xfId="11681"/>
    <cellStyle name="部门 4 2 2" xfId="11682"/>
    <cellStyle name="好 11 10" xfId="11683"/>
    <cellStyle name="部门 5" xfId="11684"/>
    <cellStyle name="部门 5 2" xfId="11685"/>
    <cellStyle name="部门 5 2 2" xfId="11686"/>
    <cellStyle name="部门 6" xfId="11687"/>
    <cellStyle name="部门 6 2" xfId="11688"/>
    <cellStyle name="部门 7" xfId="11689"/>
    <cellStyle name="部门 7 2" xfId="11690"/>
    <cellStyle name="部门 8" xfId="11691"/>
    <cellStyle name="部门 9" xfId="11692"/>
    <cellStyle name="差 10" xfId="11693"/>
    <cellStyle name="差 10 10" xfId="11694"/>
    <cellStyle name="千位分隔 3 7 4" xfId="11695"/>
    <cellStyle name="差 10 11" xfId="11696"/>
    <cellStyle name="差 10 2" xfId="11697"/>
    <cellStyle name="差 10 2 2" xfId="11698"/>
    <cellStyle name="差 10 2 2 2" xfId="11699"/>
    <cellStyle name="差 10 2 2 2 2" xfId="11700"/>
    <cellStyle name="差 10 2 2 3" xfId="11701"/>
    <cellStyle name="差 10 3" xfId="11702"/>
    <cellStyle name="差 10 3 2" xfId="11703"/>
    <cellStyle name="差 10 3 2 2" xfId="11704"/>
    <cellStyle name="常规 2 2 2 8" xfId="11705"/>
    <cellStyle name="差 10 4" xfId="11706"/>
    <cellStyle name="差 10 4 2" xfId="11707"/>
    <cellStyle name="差 10 5" xfId="11708"/>
    <cellStyle name="输出 7 3 3 2" xfId="11709"/>
    <cellStyle name="差 10 5 2" xfId="11710"/>
    <cellStyle name="差 10 6" xfId="11711"/>
    <cellStyle name="差 10 7" xfId="11712"/>
    <cellStyle name="差 10 8" xfId="11713"/>
    <cellStyle name="差 11" xfId="11714"/>
    <cellStyle name="差 11 10" xfId="11715"/>
    <cellStyle name="差 11 12" xfId="11716"/>
    <cellStyle name="差 11 2" xfId="11717"/>
    <cellStyle name="差 11 2 2" xfId="11718"/>
    <cellStyle name="差 11 2 2 2" xfId="11719"/>
    <cellStyle name="差 11 2 2 2 2" xfId="11720"/>
    <cellStyle name="差 11 2 2 3" xfId="11721"/>
    <cellStyle name="差 11 2 3 2" xfId="11722"/>
    <cellStyle name="差 11 2 4" xfId="11723"/>
    <cellStyle name="差 11 2 5" xfId="11724"/>
    <cellStyle name="检查单元格 11 6 2" xfId="11725"/>
    <cellStyle name="差 11 3" xfId="11726"/>
    <cellStyle name="差 11 3 2 2" xfId="11727"/>
    <cellStyle name="差 11 4" xfId="11728"/>
    <cellStyle name="差 11 4 2" xfId="11729"/>
    <cellStyle name="差_06年拍卖" xfId="11730"/>
    <cellStyle name="差 11 5" xfId="11731"/>
    <cellStyle name="常规 7 2 2 2" xfId="11732"/>
    <cellStyle name="差 11 5 2" xfId="11733"/>
    <cellStyle name="常规 7 2 2 2 2" xfId="11734"/>
    <cellStyle name="输入 5 11" xfId="11735"/>
    <cellStyle name="差 11 6" xfId="11736"/>
    <cellStyle name="常规 7 2 2 3" xfId="11737"/>
    <cellStyle name="差 11 7" xfId="11738"/>
    <cellStyle name="常规 7 2 2 4" xfId="11739"/>
    <cellStyle name="差 11 8" xfId="11740"/>
    <cellStyle name="常规 7 2 2 5" xfId="11741"/>
    <cellStyle name="差 11 9" xfId="11742"/>
    <cellStyle name="常规 7 2 2 6" xfId="11743"/>
    <cellStyle name="差 12" xfId="11744"/>
    <cellStyle name="差 12 10" xfId="11745"/>
    <cellStyle name="差 12 11" xfId="11746"/>
    <cellStyle name="差 12 12" xfId="11747"/>
    <cellStyle name="差 12 2" xfId="11748"/>
    <cellStyle name="差 12 2 2" xfId="11749"/>
    <cellStyle name="差 12 2 2 2 2" xfId="11750"/>
    <cellStyle name="差 12 2 2 3" xfId="11751"/>
    <cellStyle name="差 12 2 3" xfId="11752"/>
    <cellStyle name="差 12 2 3 2" xfId="11753"/>
    <cellStyle name="差 12 2 4" xfId="11754"/>
    <cellStyle name="差 12 2 5" xfId="11755"/>
    <cellStyle name="检查单元格 12 6 2" xfId="11756"/>
    <cellStyle name="差 12 3" xfId="11757"/>
    <cellStyle name="差 12 4" xfId="11758"/>
    <cellStyle name="差 12 4 2" xfId="11759"/>
    <cellStyle name="差 12 5" xfId="11760"/>
    <cellStyle name="常规 7 2 3 2" xfId="11761"/>
    <cellStyle name="输出 7 3 5 2" xfId="11762"/>
    <cellStyle name="差 12 5 2" xfId="11763"/>
    <cellStyle name="常规 7 2 3 2 2" xfId="11764"/>
    <cellStyle name="差 12 6" xfId="11765"/>
    <cellStyle name="常规 7 2 3 3" xfId="11766"/>
    <cellStyle name="差 12 7" xfId="11767"/>
    <cellStyle name="常规 7 2 3 4" xfId="11768"/>
    <cellStyle name="差 12 8" xfId="11769"/>
    <cellStyle name="常规 7 2 3 5" xfId="11770"/>
    <cellStyle name="千位分隔[0] 3 2 2" xfId="11771"/>
    <cellStyle name="差 12 9" xfId="11772"/>
    <cellStyle name="常规 7 2 3 6" xfId="11773"/>
    <cellStyle name="差 13" xfId="11774"/>
    <cellStyle name="差 13 10" xfId="11775"/>
    <cellStyle name="检查单元格 3 7" xfId="11776"/>
    <cellStyle name="差 13 11" xfId="11777"/>
    <cellStyle name="检查单元格 3 8" xfId="11778"/>
    <cellStyle name="差 13 12" xfId="11779"/>
    <cellStyle name="检查单元格 3 9" xfId="11780"/>
    <cellStyle name="差 13 2" xfId="11781"/>
    <cellStyle name="差 13 2 2" xfId="11782"/>
    <cellStyle name="差 13 2 2 2 2" xfId="11783"/>
    <cellStyle name="差 13 2 2 3" xfId="11784"/>
    <cellStyle name="差 13 2 3 2" xfId="11785"/>
    <cellStyle name="差 13 2 4" xfId="11786"/>
    <cellStyle name="差 13 2 5" xfId="11787"/>
    <cellStyle name="检查单元格 13 6 2" xfId="11788"/>
    <cellStyle name="差 13 3" xfId="11789"/>
    <cellStyle name="差 13 4" xfId="11790"/>
    <cellStyle name="差 13 4 2" xfId="11791"/>
    <cellStyle name="差 13 5" xfId="11792"/>
    <cellStyle name="常规 7 2 4 2" xfId="11793"/>
    <cellStyle name="差 13 5 2" xfId="11794"/>
    <cellStyle name="常规 7 2 4 2 2" xfId="11795"/>
    <cellStyle name="差 13 6" xfId="11796"/>
    <cellStyle name="常规 7 2 4 3" xfId="11797"/>
    <cellStyle name="差 13 6 2" xfId="11798"/>
    <cellStyle name="差 13 7" xfId="11799"/>
    <cellStyle name="常规 7 2 4 4" xfId="11800"/>
    <cellStyle name="差 13 8" xfId="11801"/>
    <cellStyle name="差 13 9" xfId="11802"/>
    <cellStyle name="差 14" xfId="11803"/>
    <cellStyle name="差 14 2" xfId="11804"/>
    <cellStyle name="差 14 2 2" xfId="11805"/>
    <cellStyle name="差 14 3" xfId="11806"/>
    <cellStyle name="差 14 3 2" xfId="11807"/>
    <cellStyle name="检查单元格 8 12" xfId="11808"/>
    <cellStyle name="差 14 4" xfId="11809"/>
    <cellStyle name="差 15" xfId="11810"/>
    <cellStyle name="强调文字颜色 1 4 2 2 2" xfId="11811"/>
    <cellStyle name="差 15 2" xfId="11812"/>
    <cellStyle name="差 15 2 2" xfId="11813"/>
    <cellStyle name="差 15 3" xfId="11814"/>
    <cellStyle name="差 2 10" xfId="11815"/>
    <cellStyle name="差 2 11" xfId="11816"/>
    <cellStyle name="差 2 2 2 2" xfId="11817"/>
    <cellStyle name="差 2 2 2 2 2" xfId="11818"/>
    <cellStyle name="差 2 2 2 3" xfId="11819"/>
    <cellStyle name="差 2 2 3" xfId="11820"/>
    <cellStyle name="差 2 2 3 2" xfId="11821"/>
    <cellStyle name="差 2 2 4" xfId="11822"/>
    <cellStyle name="差 2 2 5" xfId="11823"/>
    <cellStyle name="差 2 3 2" xfId="11824"/>
    <cellStyle name="差 2 3 2 3" xfId="11825"/>
    <cellStyle name="差 2 3 3" xfId="11826"/>
    <cellStyle name="差 2 3 3 2" xfId="11827"/>
    <cellStyle name="差 2 3 4" xfId="11828"/>
    <cellStyle name="差 2 4 2" xfId="11829"/>
    <cellStyle name="差 2 4 2 2" xfId="11830"/>
    <cellStyle name="差 2 4 2 2 2" xfId="11831"/>
    <cellStyle name="差 2 4 2 3" xfId="11832"/>
    <cellStyle name="差 2 4 3 2" xfId="11833"/>
    <cellStyle name="强调文字颜色 1 10 6" xfId="11834"/>
    <cellStyle name="差 2 5 2" xfId="11835"/>
    <cellStyle name="强调文字颜色 3 5 11" xfId="11836"/>
    <cellStyle name="差 2 5 2 2" xfId="11837"/>
    <cellStyle name="差 2 6" xfId="11838"/>
    <cellStyle name="差 2 6 2" xfId="11839"/>
    <cellStyle name="差 2 7" xfId="11840"/>
    <cellStyle name="差 2 7 2" xfId="11841"/>
    <cellStyle name="差 2 8" xfId="11842"/>
    <cellStyle name="差 2 9" xfId="11843"/>
    <cellStyle name="差 3" xfId="11844"/>
    <cellStyle name="差 3 10" xfId="11845"/>
    <cellStyle name="差 3 11" xfId="11846"/>
    <cellStyle name="差 3 12" xfId="11847"/>
    <cellStyle name="差 3 2 2 2" xfId="11848"/>
    <cellStyle name="链接单元格 11 6" xfId="11849"/>
    <cellStyle name="差 3 2 2 2 2" xfId="11850"/>
    <cellStyle name="差 3 2 2 3" xfId="11851"/>
    <cellStyle name="链接单元格 11 7" xfId="11852"/>
    <cellStyle name="差 3 2 3" xfId="11853"/>
    <cellStyle name="差 3 2 3 2" xfId="11854"/>
    <cellStyle name="链接单元格 12 6" xfId="11855"/>
    <cellStyle name="差 3 2 5" xfId="11856"/>
    <cellStyle name="差 3 3 2" xfId="11857"/>
    <cellStyle name="差 3 3 3" xfId="11858"/>
    <cellStyle name="差 3 4 2" xfId="11859"/>
    <cellStyle name="差 3 5 2" xfId="11860"/>
    <cellStyle name="差 3 6" xfId="11861"/>
    <cellStyle name="差 3 7" xfId="11862"/>
    <cellStyle name="差 3 9" xfId="11863"/>
    <cellStyle name="差 4" xfId="11864"/>
    <cellStyle name="差 4 2 2 2" xfId="11865"/>
    <cellStyle name="差 4 2 2 2 2" xfId="11866"/>
    <cellStyle name="差 4 2 2 3" xfId="11867"/>
    <cellStyle name="差 4 2 3" xfId="11868"/>
    <cellStyle name="差 4 2 3 2" xfId="11869"/>
    <cellStyle name="差 4 2 5" xfId="11870"/>
    <cellStyle name="差 4 3 2" xfId="11871"/>
    <cellStyle name="差 4 3 2 2" xfId="11872"/>
    <cellStyle name="差 4 3 3" xfId="11873"/>
    <cellStyle name="差 4 4 2" xfId="11874"/>
    <cellStyle name="差 4 5 2" xfId="11875"/>
    <cellStyle name="差 4 6" xfId="11876"/>
    <cellStyle name="差 4 7" xfId="11877"/>
    <cellStyle name="差 4 9" xfId="11878"/>
    <cellStyle name="差 5" xfId="11879"/>
    <cellStyle name="差 5 10" xfId="11880"/>
    <cellStyle name="差 5 11" xfId="11881"/>
    <cellStyle name="差 5 2 2 2" xfId="11882"/>
    <cellStyle name="差 5 2 2 2 2" xfId="11883"/>
    <cellStyle name="差 5 2 2 3" xfId="11884"/>
    <cellStyle name="差 5 2 3" xfId="11885"/>
    <cellStyle name="差 5 2 3 2" xfId="11886"/>
    <cellStyle name="汇总 7 2 3" xfId="11887"/>
    <cellStyle name="差 5 2 5" xfId="11888"/>
    <cellStyle name="差 5 3 2" xfId="11889"/>
    <cellStyle name="差 5 3 2 2" xfId="11890"/>
    <cellStyle name="差 5 4 2" xfId="11891"/>
    <cellStyle name="差 5 5 2" xfId="11892"/>
    <cellStyle name="差 5 6" xfId="11893"/>
    <cellStyle name="差 5 7" xfId="11894"/>
    <cellStyle name="差 6" xfId="11895"/>
    <cellStyle name="差 6 10" xfId="11896"/>
    <cellStyle name="差 6 11" xfId="11897"/>
    <cellStyle name="检查单元格 5 2 2" xfId="11898"/>
    <cellStyle name="差 6 12" xfId="11899"/>
    <cellStyle name="检查单元格 5 2 3" xfId="11900"/>
    <cellStyle name="差 6 2" xfId="11901"/>
    <cellStyle name="差 6 2 2" xfId="11902"/>
    <cellStyle name="差 6 2 2 2" xfId="11903"/>
    <cellStyle name="常规 113 5" xfId="11904"/>
    <cellStyle name="输入 7 3 4" xfId="11905"/>
    <cellStyle name="注释 4 4" xfId="11906"/>
    <cellStyle name="差 6 2 2 2 2" xfId="11907"/>
    <cellStyle name="注释 4 4 2" xfId="11908"/>
    <cellStyle name="差 6 2 2 3" xfId="11909"/>
    <cellStyle name="输入 7 3 5" xfId="11910"/>
    <cellStyle name="注释 4 5" xfId="11911"/>
    <cellStyle name="差 6 2 3" xfId="11912"/>
    <cellStyle name="差 6 2 3 2" xfId="11913"/>
    <cellStyle name="输入 7 4 4" xfId="11914"/>
    <cellStyle name="注释 5 4" xfId="11915"/>
    <cellStyle name="差 6 2 4" xfId="11916"/>
    <cellStyle name="差 6 2 5" xfId="11917"/>
    <cellStyle name="差 6 3" xfId="11918"/>
    <cellStyle name="差 6 3 2" xfId="11919"/>
    <cellStyle name="差 6 3 2 2" xfId="11920"/>
    <cellStyle name="输入 8 3 4" xfId="11921"/>
    <cellStyle name="差 6 3 3" xfId="11922"/>
    <cellStyle name="差 6 4" xfId="11923"/>
    <cellStyle name="差 6 4 2" xfId="11924"/>
    <cellStyle name="差 6 5" xfId="11925"/>
    <cellStyle name="差 6 5 2" xfId="11926"/>
    <cellStyle name="差 6 6" xfId="11927"/>
    <cellStyle name="差 6 7" xfId="11928"/>
    <cellStyle name="差 6 9" xfId="11929"/>
    <cellStyle name="差 7 10" xfId="11930"/>
    <cellStyle name="差 7 2" xfId="11931"/>
    <cellStyle name="差 7 2 2" xfId="11932"/>
    <cellStyle name="差 7 2 2 3" xfId="11933"/>
    <cellStyle name="差 7 2 3" xfId="11934"/>
    <cellStyle name="差 7 2 3 2" xfId="11935"/>
    <cellStyle name="差 7 2 4" xfId="11936"/>
    <cellStyle name="差 7 2 5" xfId="11937"/>
    <cellStyle name="差 7 3" xfId="11938"/>
    <cellStyle name="差 7 3 2" xfId="11939"/>
    <cellStyle name="差 7 3 2 2" xfId="11940"/>
    <cellStyle name="差 7 3 3" xfId="11941"/>
    <cellStyle name="差 7 4" xfId="11942"/>
    <cellStyle name="差 7 4 2" xfId="11943"/>
    <cellStyle name="差 7 5" xfId="11944"/>
    <cellStyle name="差 7 5 2" xfId="11945"/>
    <cellStyle name="强调文字颜色 4 5 11" xfId="11946"/>
    <cellStyle name="差 7 6" xfId="11947"/>
    <cellStyle name="差 7 7" xfId="11948"/>
    <cellStyle name="差 7 8" xfId="11949"/>
    <cellStyle name="差 7 9" xfId="11950"/>
    <cellStyle name="差 8" xfId="11951"/>
    <cellStyle name="差 8 10" xfId="11952"/>
    <cellStyle name="差 8 11" xfId="11953"/>
    <cellStyle name="差 8 12" xfId="11954"/>
    <cellStyle name="差 8 2" xfId="11955"/>
    <cellStyle name="差 8 2 2 2 2" xfId="11956"/>
    <cellStyle name="强调文字颜色 5 11 2 4" xfId="11957"/>
    <cellStyle name="差 8 2 2 3" xfId="11958"/>
    <cellStyle name="注释 4 2 5" xfId="11959"/>
    <cellStyle name="差 8 3" xfId="11960"/>
    <cellStyle name="常规 2 2 2 2 10" xfId="11961"/>
    <cellStyle name="差 8 3 2" xfId="11962"/>
    <cellStyle name="差 8 3 3" xfId="11963"/>
    <cellStyle name="差 8 4" xfId="11964"/>
    <cellStyle name="常规 2 2 2 2 11" xfId="11965"/>
    <cellStyle name="差 8 4 2" xfId="11966"/>
    <cellStyle name="差 8 5" xfId="11967"/>
    <cellStyle name="常规 2 2 2 2 12" xfId="11968"/>
    <cellStyle name="差 8 5 2" xfId="11969"/>
    <cellStyle name="差 8 6" xfId="11970"/>
    <cellStyle name="常规 2 2 2 2 13" xfId="11971"/>
    <cellStyle name="差 8 7" xfId="11972"/>
    <cellStyle name="常规 2 2 2 2 14" xfId="11973"/>
    <cellStyle name="差 8 8" xfId="11974"/>
    <cellStyle name="常规 2 2 2 2 15" xfId="11975"/>
    <cellStyle name="差 8 9" xfId="11976"/>
    <cellStyle name="差 9" xfId="11977"/>
    <cellStyle name="差 9 10" xfId="11978"/>
    <cellStyle name="常规 7 3 3 7" xfId="11979"/>
    <cellStyle name="差 9 2" xfId="11980"/>
    <cellStyle name="差 9 2 3" xfId="11981"/>
    <cellStyle name="差 9 2 3 2" xfId="11982"/>
    <cellStyle name="差 9 2 4" xfId="11983"/>
    <cellStyle name="差 9 2 5" xfId="11984"/>
    <cellStyle name="差 9 3" xfId="11985"/>
    <cellStyle name="差 9 3 2" xfId="11986"/>
    <cellStyle name="差 9 3 2 2" xfId="11987"/>
    <cellStyle name="差 9 3 3" xfId="11988"/>
    <cellStyle name="差 9 4" xfId="11989"/>
    <cellStyle name="差 9 4 2" xfId="11990"/>
    <cellStyle name="差 9 5" xfId="11991"/>
    <cellStyle name="差 9 5 2" xfId="11992"/>
    <cellStyle name="差 9 7" xfId="11993"/>
    <cellStyle name="差 9 8" xfId="11994"/>
    <cellStyle name="差 9 9" xfId="11995"/>
    <cellStyle name="差_06年出版社" xfId="11996"/>
    <cellStyle name="常规 2 4 2 3" xfId="11997"/>
    <cellStyle name="差_06年瑞祥泰" xfId="11998"/>
    <cellStyle name="差_09年企管部预算（砍掉后） " xfId="11999"/>
    <cellStyle name="差_12账龄分析" xfId="12000"/>
    <cellStyle name="差_12账龄分析 2" xfId="12001"/>
    <cellStyle name="差_12账龄分析 2 2" xfId="12002"/>
    <cellStyle name="差_12账龄分析 2 2 2" xfId="12003"/>
    <cellStyle name="差_12账龄分析 2 2 2 2" xfId="12004"/>
    <cellStyle name="差_12账龄分析 2 2 3" xfId="12005"/>
    <cellStyle name="差_12账龄分析 2 3" xfId="12006"/>
    <cellStyle name="差_12账龄分析 2 3 2" xfId="12007"/>
    <cellStyle name="差_12账龄分析 2 4" xfId="12008"/>
    <cellStyle name="差_12账龄分析 3" xfId="12009"/>
    <cellStyle name="警告文本 10 3 2 2" xfId="12010"/>
    <cellStyle name="差_12账龄分析 3 2" xfId="12011"/>
    <cellStyle name="差_12账龄分析 3 3" xfId="12012"/>
    <cellStyle name="差_12账龄分析 4" xfId="12013"/>
    <cellStyle name="差_12账龄分析 5" xfId="12014"/>
    <cellStyle name="差_CF-九江天赐" xfId="12015"/>
    <cellStyle name="差_报表2011年九江天赐" xfId="12016"/>
    <cellStyle name="差_报表2011年天赐高新" xfId="12017"/>
    <cellStyle name="差_报表2011年有机硅" xfId="12018"/>
    <cellStyle name="差_附注插件2010" xfId="12019"/>
    <cellStyle name="差_栏目销售率(2)" xfId="12020"/>
    <cellStyle name="差_调整分录2011年天赐高新" xfId="12021"/>
    <cellStyle name="差_有机硅现金流" xfId="12022"/>
    <cellStyle name="常规 3 13" xfId="12023"/>
    <cellStyle name="差_账龄02" xfId="12024"/>
    <cellStyle name="差_账龄02 2" xfId="12025"/>
    <cellStyle name="差_账龄02 2 2" xfId="12026"/>
    <cellStyle name="差_账龄02 2 2 2" xfId="12027"/>
    <cellStyle name="差_账龄02 2 2 2 2" xfId="12028"/>
    <cellStyle name="强调文字颜色 5 10 11" xfId="12029"/>
    <cellStyle name="差_账龄02 2 2 3" xfId="12030"/>
    <cellStyle name="差_账龄02 2 3" xfId="12031"/>
    <cellStyle name="差_账龄02 2 3 2" xfId="12032"/>
    <cellStyle name="差_账龄02 2 4" xfId="12033"/>
    <cellStyle name="差_账龄02 3" xfId="12034"/>
    <cellStyle name="差_账龄02 3 2" xfId="12035"/>
    <cellStyle name="差_账龄02 3 2 2" xfId="12036"/>
    <cellStyle name="差_账龄02 4" xfId="12037"/>
    <cellStyle name="差_账龄02 5" xfId="12038"/>
    <cellStyle name="差_账龄02." xfId="12039"/>
    <cellStyle name="差_账龄02. 2" xfId="12040"/>
    <cellStyle name="差_账龄02. 2 2" xfId="12041"/>
    <cellStyle name="差_账龄02. 2 2 2" xfId="12042"/>
    <cellStyle name="差_账龄02. 2 2 2 2" xfId="12043"/>
    <cellStyle name="差_账龄02. 2 2 3" xfId="12044"/>
    <cellStyle name="差_账龄02. 2 3" xfId="12045"/>
    <cellStyle name="差_账龄02. 2 3 2" xfId="12046"/>
    <cellStyle name="差_账龄02. 2 4" xfId="12047"/>
    <cellStyle name="差_账龄02. 3" xfId="12048"/>
    <cellStyle name="差_账龄02. 3 2" xfId="12049"/>
    <cellStyle name="差_账龄02. 3 2 2" xfId="12050"/>
    <cellStyle name="差_账龄02. 3 3" xfId="12051"/>
    <cellStyle name="差_账龄02. 4" xfId="12052"/>
    <cellStyle name="差_账龄02. 4 2" xfId="12053"/>
    <cellStyle name="差_账龄07" xfId="12054"/>
    <cellStyle name="差_账龄12" xfId="12055"/>
    <cellStyle name="差_账龄07 2" xfId="12056"/>
    <cellStyle name="差_账龄12 2" xfId="12057"/>
    <cellStyle name="差_账龄07 2 2" xfId="12058"/>
    <cellStyle name="差_账龄12 2 2" xfId="12059"/>
    <cellStyle name="差_账龄07 2 2 2" xfId="12060"/>
    <cellStyle name="差_账龄12 2 2 2" xfId="12061"/>
    <cellStyle name="汇总 6" xfId="12062"/>
    <cellStyle name="差_账龄07 2 2 2 2" xfId="12063"/>
    <cellStyle name="差_账龄12 2 2 2 2" xfId="12064"/>
    <cellStyle name="汇总 6 2" xfId="12065"/>
    <cellStyle name="差_账龄07 2 2 3" xfId="12066"/>
    <cellStyle name="差_账龄12 2 2 3" xfId="12067"/>
    <cellStyle name="汇总 7" xfId="12068"/>
    <cellStyle name="差_账龄07 2 3" xfId="12069"/>
    <cellStyle name="差_账龄12 2 3" xfId="12070"/>
    <cellStyle name="差_账龄07 2 3 2" xfId="12071"/>
    <cellStyle name="差_账龄12 2 3 2" xfId="12072"/>
    <cellStyle name="差_账龄07 2 4" xfId="12073"/>
    <cellStyle name="差_账龄12 2 4" xfId="12074"/>
    <cellStyle name="差_账龄07 3" xfId="12075"/>
    <cellStyle name="差_账龄12 3" xfId="12076"/>
    <cellStyle name="差_账龄07 3 2" xfId="12077"/>
    <cellStyle name="差_账龄12 3 2" xfId="12078"/>
    <cellStyle name="差_账龄07 3 2 2" xfId="12079"/>
    <cellStyle name="差_账龄12 3 2 2" xfId="12080"/>
    <cellStyle name="差_账龄07 3 3" xfId="12081"/>
    <cellStyle name="差_账龄12 3 3" xfId="12082"/>
    <cellStyle name="差_账龄07 4" xfId="12083"/>
    <cellStyle name="差_账龄12 4" xfId="12084"/>
    <cellStyle name="差_账龄07 4 2" xfId="12085"/>
    <cellStyle name="差_账龄12 4 2" xfId="12086"/>
    <cellStyle name="差_账龄07 5" xfId="12087"/>
    <cellStyle name="差_账龄12 5" xfId="12088"/>
    <cellStyle name="差_账龄08" xfId="12089"/>
    <cellStyle name="差_账龄08 2" xfId="12090"/>
    <cellStyle name="差_账龄08 2 2" xfId="12091"/>
    <cellStyle name="差_账龄08 2 2 2" xfId="12092"/>
    <cellStyle name="差_账龄08 2 2 2 2" xfId="12093"/>
    <cellStyle name="差_账龄08 2 2 3" xfId="12094"/>
    <cellStyle name="差_账龄08 2 3" xfId="12095"/>
    <cellStyle name="差_账龄08 2 3 2" xfId="12096"/>
    <cellStyle name="差_账龄08 2 4" xfId="12097"/>
    <cellStyle name="差_账龄08 3" xfId="12098"/>
    <cellStyle name="差_账龄08 3 2" xfId="12099"/>
    <cellStyle name="差_账龄08 3 2 2" xfId="12100"/>
    <cellStyle name="输入 10 2 3" xfId="12101"/>
    <cellStyle name="差_账龄08 3 3" xfId="12102"/>
    <cellStyle name="差_账龄08 4" xfId="12103"/>
    <cellStyle name="差_账龄08 4 2" xfId="12104"/>
    <cellStyle name="差_账龄08 5" xfId="12105"/>
    <cellStyle name="差_账龄09" xfId="12106"/>
    <cellStyle name="差_账龄09 2" xfId="12107"/>
    <cellStyle name="差_账龄09 2 2" xfId="12108"/>
    <cellStyle name="差_账龄09 2 2 2" xfId="12109"/>
    <cellStyle name="差_账龄09 2 2 2 2" xfId="12110"/>
    <cellStyle name="常规_成本报表" xfId="12111"/>
    <cellStyle name="输出 5 15" xfId="12112"/>
    <cellStyle name="差_账龄09 2 2 3" xfId="12113"/>
    <cellStyle name="差_账龄09 2 3 2" xfId="12114"/>
    <cellStyle name="差_账龄09 2 4" xfId="12115"/>
    <cellStyle name="差_账龄09 3" xfId="12116"/>
    <cellStyle name="差_账龄09 3 2" xfId="12117"/>
    <cellStyle name="差_账龄09 3 2 2" xfId="12118"/>
    <cellStyle name="差_账龄09 3 3" xfId="12119"/>
    <cellStyle name="差_账龄09 4" xfId="12120"/>
    <cellStyle name="差_账龄09 4 2" xfId="12121"/>
    <cellStyle name="差_账龄09 5" xfId="12122"/>
    <cellStyle name="差_账龄10" xfId="12123"/>
    <cellStyle name="常规 2 2 13 2 2" xfId="12124"/>
    <cellStyle name="警告文本 7 2 4" xfId="12125"/>
    <cellStyle name="千位分隔 8 2 2 2" xfId="12126"/>
    <cellStyle name="差_账龄10 2" xfId="12127"/>
    <cellStyle name="差_账龄10 2 2" xfId="12128"/>
    <cellStyle name="差_账龄10 2 2 2" xfId="12129"/>
    <cellStyle name="差_账龄10 2 2 3" xfId="12130"/>
    <cellStyle name="差_账龄10 2 3" xfId="12131"/>
    <cellStyle name="差_账龄10 3" xfId="12132"/>
    <cellStyle name="差_账龄10 3 2" xfId="12133"/>
    <cellStyle name="差_账龄10 3 2 2" xfId="12134"/>
    <cellStyle name="差_账龄10 3 3" xfId="12135"/>
    <cellStyle name="差_账龄10 4" xfId="12136"/>
    <cellStyle name="差_账龄10 4 2" xfId="12137"/>
    <cellStyle name="差_账龄10 5" xfId="12138"/>
    <cellStyle name="差_账龄11" xfId="12139"/>
    <cellStyle name="差_账龄11 2" xfId="12140"/>
    <cellStyle name="差_账龄11 2 2" xfId="12141"/>
    <cellStyle name="差_账龄11 2 2 2" xfId="12142"/>
    <cellStyle name="差_账龄11 2 2 2 2" xfId="12143"/>
    <cellStyle name="差_账龄11 2 2 3" xfId="12144"/>
    <cellStyle name="差_账龄11 2 3" xfId="12145"/>
    <cellStyle name="差_账龄11 2 3 2" xfId="12146"/>
    <cellStyle name="差_账龄11 3" xfId="12147"/>
    <cellStyle name="差_账龄11 3 2" xfId="12148"/>
    <cellStyle name="差_账龄11 3 2 2" xfId="12149"/>
    <cellStyle name="差_账龄11 3 3" xfId="12150"/>
    <cellStyle name="差_账龄11 4" xfId="12151"/>
    <cellStyle name="差_账龄11 4 2" xfId="12152"/>
    <cellStyle name="差_账龄11 5" xfId="12153"/>
    <cellStyle name="差_账龄分析2" xfId="12154"/>
    <cellStyle name="常规 5 4 3 3" xfId="12155"/>
    <cellStyle name="差_账龄分析2 2" xfId="12156"/>
    <cellStyle name="差_账龄分析2 2 2" xfId="12157"/>
    <cellStyle name="差_账龄分析2 2 2 2" xfId="12158"/>
    <cellStyle name="差_账龄分析2 2 2 2 2" xfId="12159"/>
    <cellStyle name="差_账龄分析2 2 2 3" xfId="12160"/>
    <cellStyle name="差_账龄分析2 2 3" xfId="12161"/>
    <cellStyle name="差_账龄分析2 2 4" xfId="12162"/>
    <cellStyle name="差_账龄分析2 3" xfId="12163"/>
    <cellStyle name="差_账龄分析2 3 2" xfId="12164"/>
    <cellStyle name="差_账龄分析2 3 2 2" xfId="12165"/>
    <cellStyle name="差_账龄分析2 4" xfId="12166"/>
    <cellStyle name="差_账龄分析2 4 2" xfId="12167"/>
    <cellStyle name="差_账龄分析2 5" xfId="12168"/>
    <cellStyle name="差_中国书店出版社(09审计）往来科目需填写表格" xfId="12169"/>
    <cellStyle name="常规 10" xfId="12170"/>
    <cellStyle name="计算 6 5 2" xfId="12171"/>
    <cellStyle name="常规 10 2" xfId="12172"/>
    <cellStyle name="常规 10 2 2" xfId="12173"/>
    <cellStyle name="常规 10 2 2 2" xfId="12174"/>
    <cellStyle name="常规 10 2 3" xfId="12175"/>
    <cellStyle name="常规 10 2 3 2" xfId="12176"/>
    <cellStyle name="千位分隔 3 2 14" xfId="12177"/>
    <cellStyle name="常规 10 2 4" xfId="12178"/>
    <cellStyle name="强调文字颜色 1 3 2 2 2" xfId="12179"/>
    <cellStyle name="常规 10 3" xfId="12180"/>
    <cellStyle name="常规 10 3 2" xfId="12181"/>
    <cellStyle name="常规 10 4" xfId="12182"/>
    <cellStyle name="常规 10 5" xfId="12183"/>
    <cellStyle name="常规 10 8" xfId="12184"/>
    <cellStyle name="常规 105 4" xfId="12185"/>
    <cellStyle name="常规 105 5" xfId="12186"/>
    <cellStyle name="常规 11" xfId="12187"/>
    <cellStyle name="计算 6 5 3" xfId="12188"/>
    <cellStyle name="常规 11 2" xfId="12189"/>
    <cellStyle name="常规 11 3" xfId="12190"/>
    <cellStyle name="常规 11 3 2" xfId="12191"/>
    <cellStyle name="常规 11 4" xfId="12192"/>
    <cellStyle name="常规 11 5" xfId="12193"/>
    <cellStyle name="常规 111 2 2" xfId="12194"/>
    <cellStyle name="常规 111 3" xfId="12195"/>
    <cellStyle name="注释 2 2" xfId="12196"/>
    <cellStyle name="常规 111 5" xfId="12197"/>
    <cellStyle name="注释 2 4" xfId="12198"/>
    <cellStyle name="常规 112 2" xfId="12199"/>
    <cellStyle name="常规 112 3" xfId="12200"/>
    <cellStyle name="输入 7 2 2" xfId="12201"/>
    <cellStyle name="注释 3 2" xfId="12202"/>
    <cellStyle name="常规 112 4" xfId="12203"/>
    <cellStyle name="输入 7 2 3" xfId="12204"/>
    <cellStyle name="注释 3 3" xfId="12205"/>
    <cellStyle name="常规 112 5" xfId="12206"/>
    <cellStyle name="输入 7 2 4" xfId="12207"/>
    <cellStyle name="注释 3 4" xfId="12208"/>
    <cellStyle name="常规 113 2" xfId="12209"/>
    <cellStyle name="常规 113 2 3" xfId="12210"/>
    <cellStyle name="常规 113 3" xfId="12211"/>
    <cellStyle name="输入 5 3 2 2" xfId="12212"/>
    <cellStyle name="输入 7 3 2" xfId="12213"/>
    <cellStyle name="注释 4 2" xfId="12214"/>
    <cellStyle name="常规 113 4" xfId="12215"/>
    <cellStyle name="输入 7 3 3" xfId="12216"/>
    <cellStyle name="注释 4 3" xfId="12217"/>
    <cellStyle name="常规 119" xfId="12218"/>
    <cellStyle name="常规 12" xfId="12219"/>
    <cellStyle name="计算 6 5 4" xfId="12220"/>
    <cellStyle name="强调文字颜色 3 4 3 2 2" xfId="12221"/>
    <cellStyle name="常规 12 2" xfId="12222"/>
    <cellStyle name="常规 12 2 2 2" xfId="12223"/>
    <cellStyle name="常规 12 2 2 2 2" xfId="12224"/>
    <cellStyle name="强调文字颜色 1 8 10" xfId="12225"/>
    <cellStyle name="常规 12 2 2 3" xfId="12226"/>
    <cellStyle name="常规 12 2 3 2" xfId="12227"/>
    <cellStyle name="常规 12 2 4" xfId="12228"/>
    <cellStyle name="常规 12 2 4 2" xfId="12229"/>
    <cellStyle name="常规 12 2 5" xfId="12230"/>
    <cellStyle name="常规 12 2 6" xfId="12231"/>
    <cellStyle name="常规 12 2 7" xfId="12232"/>
    <cellStyle name="常规 12 3" xfId="12233"/>
    <cellStyle name="常规 12 3 2" xfId="12234"/>
    <cellStyle name="常规 2 2 17 4" xfId="12235"/>
    <cellStyle name="强调文字颜色 2 10" xfId="12236"/>
    <cellStyle name="常规 12 3 2 2 2" xfId="12237"/>
    <cellStyle name="强调文字颜色 2 10 2 2" xfId="12238"/>
    <cellStyle name="强调文字颜色 6 8 10" xfId="12239"/>
    <cellStyle name="常规 12 3 2 3" xfId="12240"/>
    <cellStyle name="强调文字颜色 2 10 3" xfId="12241"/>
    <cellStyle name="常规 12 3 3" xfId="12242"/>
    <cellStyle name="强调文字颜色 2 11" xfId="12243"/>
    <cellStyle name="强调文字颜色 4 13 2 2" xfId="12244"/>
    <cellStyle name="常规 12 3 3 2" xfId="12245"/>
    <cellStyle name="强调文字颜色 2 11 2" xfId="12246"/>
    <cellStyle name="强调文字颜色 4 13 2 2 2" xfId="12247"/>
    <cellStyle name="常规 12 3 4" xfId="12248"/>
    <cellStyle name="强调文字颜色 2 12" xfId="12249"/>
    <cellStyle name="强调文字颜色 4 13 2 3" xfId="12250"/>
    <cellStyle name="常规 12 3 5" xfId="12251"/>
    <cellStyle name="强调文字颜色 2 13" xfId="12252"/>
    <cellStyle name="强调文字颜色 4 13 2 4" xfId="12253"/>
    <cellStyle name="常规 12 4" xfId="12254"/>
    <cellStyle name="常规 12 4 2" xfId="12255"/>
    <cellStyle name="常规 2 2 18 4" xfId="12256"/>
    <cellStyle name="常规 12 4 2 2" xfId="12257"/>
    <cellStyle name="常规 12 4 3" xfId="12258"/>
    <cellStyle name="强调文字颜色 4 13 3 2" xfId="12259"/>
    <cellStyle name="常规 12 5" xfId="12260"/>
    <cellStyle name="常规 12 5 2" xfId="12261"/>
    <cellStyle name="常规 2 2 19 4" xfId="12262"/>
    <cellStyle name="常规 12 6" xfId="12263"/>
    <cellStyle name="常规 12 7" xfId="12264"/>
    <cellStyle name="常规 122" xfId="12265"/>
    <cellStyle name="强调文字颜色 1 10 3 3" xfId="12266"/>
    <cellStyle name="常规 122 2" xfId="12267"/>
    <cellStyle name="常规 122 2 2" xfId="12268"/>
    <cellStyle name="常规 122 2 3" xfId="12269"/>
    <cellStyle name="常规 122 3" xfId="12270"/>
    <cellStyle name="注释 8 2" xfId="12271"/>
    <cellStyle name="常规 122 4" xfId="12272"/>
    <cellStyle name="注释 8 3" xfId="12273"/>
    <cellStyle name="常规 122 5" xfId="12274"/>
    <cellStyle name="注释 8 4" xfId="12275"/>
    <cellStyle name="常规 123" xfId="12276"/>
    <cellStyle name="常规 123 2" xfId="12277"/>
    <cellStyle name="常规 123 2 2" xfId="12278"/>
    <cellStyle name="常规 123 2 3" xfId="12279"/>
    <cellStyle name="常规 123 3" xfId="12280"/>
    <cellStyle name="注释 9 2" xfId="12281"/>
    <cellStyle name="常规 123 4" xfId="12282"/>
    <cellStyle name="注释 9 3" xfId="12283"/>
    <cellStyle name="常规 123 5" xfId="12284"/>
    <cellStyle name="注释 9 4" xfId="12285"/>
    <cellStyle name="常规 13" xfId="12286"/>
    <cellStyle name="计算 6 5 5" xfId="12287"/>
    <cellStyle name="适中 8 3 2" xfId="12288"/>
    <cellStyle name="常规 13 2" xfId="12289"/>
    <cellStyle name="常规 13 2 2" xfId="12290"/>
    <cellStyle name="常规 13 3" xfId="12291"/>
    <cellStyle name="常规 13 3 2" xfId="12292"/>
    <cellStyle name="常规 13 4" xfId="12293"/>
    <cellStyle name="常规 13 5" xfId="12294"/>
    <cellStyle name="常规 14 2" xfId="12295"/>
    <cellStyle name="常规 14 3" xfId="12296"/>
    <cellStyle name="常规 14 3 2" xfId="12297"/>
    <cellStyle name="常规 14 3 3" xfId="12298"/>
    <cellStyle name="常规 14 4" xfId="12299"/>
    <cellStyle name="常规 14 5" xfId="12300"/>
    <cellStyle name="常规 16" xfId="12301"/>
    <cellStyle name="注释 6 2 3 2" xfId="12302"/>
    <cellStyle name="常规 16 10" xfId="12303"/>
    <cellStyle name="警告文本 6 3" xfId="12304"/>
    <cellStyle name="常规 16 11" xfId="12305"/>
    <cellStyle name="警告文本 6 4" xfId="12306"/>
    <cellStyle name="常规 16 12" xfId="12307"/>
    <cellStyle name="警告文本 6 5" xfId="12308"/>
    <cellStyle name="常规 16 2 10" xfId="12309"/>
    <cellStyle name="常规 16 2 2 6" xfId="12310"/>
    <cellStyle name="常规 16 2 2 7" xfId="12311"/>
    <cellStyle name="常规 16 2 4" xfId="12312"/>
    <cellStyle name="常规 16 2 5" xfId="12313"/>
    <cellStyle name="好_账龄08 2 2" xfId="12314"/>
    <cellStyle name="常规 16 2 6" xfId="12315"/>
    <cellStyle name="好_账龄08 2 3" xfId="12316"/>
    <cellStyle name="常规 16 2 7" xfId="12317"/>
    <cellStyle name="好_账龄08 2 4" xfId="12318"/>
    <cellStyle name="常规 16 2 8" xfId="12319"/>
    <cellStyle name="常规 16 3 2" xfId="12320"/>
    <cellStyle name="常规 16 3 2 2" xfId="12321"/>
    <cellStyle name="常规 16 3 3" xfId="12322"/>
    <cellStyle name="常规 16 3 4" xfId="12323"/>
    <cellStyle name="常规 16 3 5" xfId="12324"/>
    <cellStyle name="好_账龄08 3 2" xfId="12325"/>
    <cellStyle name="常规 16 3 6" xfId="12326"/>
    <cellStyle name="好_账龄08 3 3" xfId="12327"/>
    <cellStyle name="常规 16 3 7" xfId="12328"/>
    <cellStyle name="常规 16 4 2" xfId="12329"/>
    <cellStyle name="常规 16 4 3" xfId="12330"/>
    <cellStyle name="常规 16 5" xfId="12331"/>
    <cellStyle name="常规 16 6" xfId="12332"/>
    <cellStyle name="常规 16 6 2" xfId="12333"/>
    <cellStyle name="常规 16 7" xfId="12334"/>
    <cellStyle name="常规 16 8" xfId="12335"/>
    <cellStyle name="常规 17 4" xfId="12336"/>
    <cellStyle name="常规 2 2 2 2 4 2 2" xfId="12337"/>
    <cellStyle name="常规 17 5" xfId="12338"/>
    <cellStyle name="常规 18" xfId="12339"/>
    <cellStyle name="常规 18 10" xfId="12340"/>
    <cellStyle name="注释 7 7 2" xfId="12341"/>
    <cellStyle name="常规 18 12" xfId="12342"/>
    <cellStyle name="常规 18 13" xfId="12343"/>
    <cellStyle name="常规 18 14" xfId="12344"/>
    <cellStyle name="常规 18 15" xfId="12345"/>
    <cellStyle name="常规 18 16" xfId="12346"/>
    <cellStyle name="常规 18 2" xfId="12347"/>
    <cellStyle name="常规 23 2" xfId="12348"/>
    <cellStyle name="常规 18 2 2" xfId="12349"/>
    <cellStyle name="常规 18 2 2 2" xfId="12350"/>
    <cellStyle name="强调文字颜色 5 13 10" xfId="12351"/>
    <cellStyle name="常规 18 2 3" xfId="12352"/>
    <cellStyle name="商品名称 2 2 2" xfId="12353"/>
    <cellStyle name="常规 18 2 4" xfId="12354"/>
    <cellStyle name="常规 18 2 5" xfId="12355"/>
    <cellStyle name="常规 18 2 6" xfId="12356"/>
    <cellStyle name="常规 18 2 7" xfId="12357"/>
    <cellStyle name="常规 18 3" xfId="12358"/>
    <cellStyle name="常规 18 3 2" xfId="12359"/>
    <cellStyle name="常规 18 3 2 10" xfId="12360"/>
    <cellStyle name="常规 18 3 2 2" xfId="12361"/>
    <cellStyle name="常规 18 3 2 2 2" xfId="12362"/>
    <cellStyle name="常规 18 3 2 2 2 2" xfId="12363"/>
    <cellStyle name="常规 18 3 2 2 3" xfId="12364"/>
    <cellStyle name="常规 18 3 2 2 4" xfId="12365"/>
    <cellStyle name="常规 18 3 2 3" xfId="12366"/>
    <cellStyle name="常规 3 3 2 3 2" xfId="12367"/>
    <cellStyle name="常规 18 3 2 3 2" xfId="12368"/>
    <cellStyle name="常规 18 3 2 3 3" xfId="12369"/>
    <cellStyle name="常规 18 3 2 4" xfId="12370"/>
    <cellStyle name="常规 18 3 2 5" xfId="12371"/>
    <cellStyle name="常规 18 3 2 6" xfId="12372"/>
    <cellStyle name="常规 18 3 2 7" xfId="12373"/>
    <cellStyle name="常规 18 3 2 8" xfId="12374"/>
    <cellStyle name="常规 18 3 3" xfId="12375"/>
    <cellStyle name="常规 18 3 3 2" xfId="12376"/>
    <cellStyle name="常规 18 3 3 2 2" xfId="12377"/>
    <cellStyle name="常规 18 3 3 3" xfId="12378"/>
    <cellStyle name="常规 18 3 3 4" xfId="12379"/>
    <cellStyle name="常规 18 3 4" xfId="12380"/>
    <cellStyle name="常规 18 3 4 2" xfId="12381"/>
    <cellStyle name="常规 18 3 4 3" xfId="12382"/>
    <cellStyle name="常规 18 3 5" xfId="12383"/>
    <cellStyle name="常规 18 3 6" xfId="12384"/>
    <cellStyle name="常规 18 3 7" xfId="12385"/>
    <cellStyle name="常规 18 3 8" xfId="12386"/>
    <cellStyle name="常规 18 4" xfId="12387"/>
    <cellStyle name="常规 18 4 2" xfId="12388"/>
    <cellStyle name="常规 18 4 3" xfId="12389"/>
    <cellStyle name="常规 18 5" xfId="12390"/>
    <cellStyle name="常规 18 5 2" xfId="12391"/>
    <cellStyle name="常规 18 6 2" xfId="12392"/>
    <cellStyle name="常规 18 7" xfId="12393"/>
    <cellStyle name="常规 18 7 2" xfId="12394"/>
    <cellStyle name="常规 18 8" xfId="12395"/>
    <cellStyle name="常规 18 9" xfId="12396"/>
    <cellStyle name="常规 19 2" xfId="12397"/>
    <cellStyle name="常规 2" xfId="12398"/>
    <cellStyle name="常规 2 10" xfId="12399"/>
    <cellStyle name="常规 2 10 2 2" xfId="12400"/>
    <cellStyle name="强调文字颜色 4 13 11" xfId="12401"/>
    <cellStyle name="常规 2 10 3 2" xfId="12402"/>
    <cellStyle name="常规 2 10 3 2 2" xfId="12403"/>
    <cellStyle name="常规 2 10 4" xfId="12404"/>
    <cellStyle name="常规 2 11" xfId="12405"/>
    <cellStyle name="常规 2 11 2" xfId="12406"/>
    <cellStyle name="常规 3 2 2 3" xfId="12407"/>
    <cellStyle name="常规 2 11 3" xfId="12408"/>
    <cellStyle name="常规 3 2 2 4" xfId="12409"/>
    <cellStyle name="常规 2 11 4" xfId="12410"/>
    <cellStyle name="常规 3 2 2 5" xfId="12411"/>
    <cellStyle name="常规 2 12" xfId="12412"/>
    <cellStyle name="常规 2 12 2" xfId="12413"/>
    <cellStyle name="常规 3 2 3 3" xfId="12414"/>
    <cellStyle name="常规 2 12 3" xfId="12415"/>
    <cellStyle name="常规 3 2 3 4" xfId="12416"/>
    <cellStyle name="常规 2 12 4" xfId="12417"/>
    <cellStyle name="常规 3 2 3 5" xfId="12418"/>
    <cellStyle name="常规 2 12 5" xfId="12419"/>
    <cellStyle name="常规 3 2 3 6" xfId="12420"/>
    <cellStyle name="常规 2 13" xfId="12421"/>
    <cellStyle name="计算 3 5 2" xfId="12422"/>
    <cellStyle name="常规 2 13 2" xfId="12423"/>
    <cellStyle name="常规 3 2 4 3" xfId="12424"/>
    <cellStyle name="常规 2 13 3" xfId="12425"/>
    <cellStyle name="常规 3 2 4 4" xfId="12426"/>
    <cellStyle name="常规 2 13 4" xfId="12427"/>
    <cellStyle name="常规 3 2 4 5" xfId="12428"/>
    <cellStyle name="常规 2 13 5" xfId="12429"/>
    <cellStyle name="常规 2 14" xfId="12430"/>
    <cellStyle name="计算 3 5 3" xfId="12431"/>
    <cellStyle name="常规 2 14 2" xfId="12432"/>
    <cellStyle name="常规 3 2 5 3" xfId="12433"/>
    <cellStyle name="常规 2 14 3" xfId="12434"/>
    <cellStyle name="常规 3 2 5 4" xfId="12435"/>
    <cellStyle name="常规 2 14 4" xfId="12436"/>
    <cellStyle name="常规 3 2 5 5" xfId="12437"/>
    <cellStyle name="常规 2 15" xfId="12438"/>
    <cellStyle name="常规 2 20" xfId="12439"/>
    <cellStyle name="计算 3 5 4" xfId="12440"/>
    <cellStyle name="常规 2 15 3" xfId="12441"/>
    <cellStyle name="常规 3 2 6 4" xfId="12442"/>
    <cellStyle name="常规 2 15 4" xfId="12443"/>
    <cellStyle name="常规 3 2 6 5" xfId="12444"/>
    <cellStyle name="常规 2 16" xfId="12445"/>
    <cellStyle name="常规 2 21" xfId="12446"/>
    <cellStyle name="计算 3 5 5" xfId="12447"/>
    <cellStyle name="适中 5 3 2" xfId="12448"/>
    <cellStyle name="常规 2 17" xfId="12449"/>
    <cellStyle name="常规 2 22" xfId="12450"/>
    <cellStyle name="常规 2 18" xfId="12451"/>
    <cellStyle name="常规 2 23" xfId="12452"/>
    <cellStyle name="常规 2 19" xfId="12453"/>
    <cellStyle name="常规 2 24" xfId="12454"/>
    <cellStyle name="常规 2 2 10" xfId="12455"/>
    <cellStyle name="常规 2 2 10 2" xfId="12456"/>
    <cellStyle name="千位分隔 5 2 11" xfId="12457"/>
    <cellStyle name="常规 2 2 10 2 2" xfId="12458"/>
    <cellStyle name="警告文本 4 2 4" xfId="12459"/>
    <cellStyle name="常规 2 2 10 3" xfId="12460"/>
    <cellStyle name="千位分隔 5 2 12" xfId="12461"/>
    <cellStyle name="常规 2 2 10 4" xfId="12462"/>
    <cellStyle name="常规 2 2 11 2 2" xfId="12463"/>
    <cellStyle name="警告文本 5 2 4" xfId="12464"/>
    <cellStyle name="常规 2 2 12 2" xfId="12465"/>
    <cellStyle name="常规 2 2 12 2 2" xfId="12466"/>
    <cellStyle name="警告文本 6 2 4" xfId="12467"/>
    <cellStyle name="常规 2 2 12 4" xfId="12468"/>
    <cellStyle name="强调文字颜色 1 10" xfId="12469"/>
    <cellStyle name="常规 2 2 13" xfId="12470"/>
    <cellStyle name="千位分隔 8 2" xfId="12471"/>
    <cellStyle name="常规 2 2 13 2" xfId="12472"/>
    <cellStyle name="千位分隔 8 2 2" xfId="12473"/>
    <cellStyle name="常规 2 2 13 3" xfId="12474"/>
    <cellStyle name="千位分隔 8 2 3" xfId="12475"/>
    <cellStyle name="常规 2 2 13 4" xfId="12476"/>
    <cellStyle name="常规 2 2 14" xfId="12477"/>
    <cellStyle name="千位分隔 8 3" xfId="12478"/>
    <cellStyle name="常规 2 2 14 2" xfId="12479"/>
    <cellStyle name="千位分隔 8 3 2" xfId="12480"/>
    <cellStyle name="常规 2 2 14 3" xfId="12481"/>
    <cellStyle name="千位分隔 8 3 3" xfId="12482"/>
    <cellStyle name="常规 2 2 14 4" xfId="12483"/>
    <cellStyle name="常规 2 2 14 5" xfId="12484"/>
    <cellStyle name="常规 2 2 14 6" xfId="12485"/>
    <cellStyle name="常规 2 2 15" xfId="12486"/>
    <cellStyle name="常规 2 2 20" xfId="12487"/>
    <cellStyle name="千位分隔 8 4" xfId="12488"/>
    <cellStyle name="常规 2 2 15 2" xfId="12489"/>
    <cellStyle name="常规 2 2 20 2" xfId="12490"/>
    <cellStyle name="千位分隔 8 4 2" xfId="12491"/>
    <cellStyle name="常规 2 2 15 3" xfId="12492"/>
    <cellStyle name="常规 2 2 20 3" xfId="12493"/>
    <cellStyle name="常规 2 2 15 4" xfId="12494"/>
    <cellStyle name="常规 2 2 20 4" xfId="12495"/>
    <cellStyle name="常规 2 2 16" xfId="12496"/>
    <cellStyle name="常规 2 2 21" xfId="12497"/>
    <cellStyle name="千位分隔 8 5" xfId="12498"/>
    <cellStyle name="常规 2 2 16 2" xfId="12499"/>
    <cellStyle name="常规 2 2 17" xfId="12500"/>
    <cellStyle name="常规 2 2 22" xfId="12501"/>
    <cellStyle name="千位分隔 8 6" xfId="12502"/>
    <cellStyle name="常规 2 2 17 2" xfId="12503"/>
    <cellStyle name="强调文字颜色 6 2 2 2 2 3" xfId="12504"/>
    <cellStyle name="常规 2 2 17 3" xfId="12505"/>
    <cellStyle name="常规 2 2 18" xfId="12506"/>
    <cellStyle name="常规 2 2 23" xfId="12507"/>
    <cellStyle name="千位分隔 8 7" xfId="12508"/>
    <cellStyle name="常规 2 2 18 2" xfId="12509"/>
    <cellStyle name="常规 2 2 18 3" xfId="12510"/>
    <cellStyle name="常规 2 2 19" xfId="12511"/>
    <cellStyle name="常规 2 2 24" xfId="12512"/>
    <cellStyle name="常规 2 2 19 2" xfId="12513"/>
    <cellStyle name="常规 2 2 19 3" xfId="12514"/>
    <cellStyle name="常规 2 2 2" xfId="12515"/>
    <cellStyle name="输出 2 3 4" xfId="12516"/>
    <cellStyle name="常规 2 2 2 10" xfId="12517"/>
    <cellStyle name="常规 2 2 2 11" xfId="12518"/>
    <cellStyle name="常规 2 2 2 12" xfId="12519"/>
    <cellStyle name="常规 2 2 2 13" xfId="12520"/>
    <cellStyle name="常规 2 2 2 14" xfId="12521"/>
    <cellStyle name="常规 2 2 2 15" xfId="12522"/>
    <cellStyle name="常规 2 2 2 16" xfId="12523"/>
    <cellStyle name="常规 2 2 2 17" xfId="12524"/>
    <cellStyle name="常规 2 2 2 2" xfId="12525"/>
    <cellStyle name="常规 2 2 2 2 2" xfId="12526"/>
    <cellStyle name="常规 2 2 2 2 2 2" xfId="12527"/>
    <cellStyle name="常规 2 2 2 2 2 3" xfId="12528"/>
    <cellStyle name="常规 2 2 2 2 2 4" xfId="12529"/>
    <cellStyle name="常规 2 2 2 2 2 5" xfId="12530"/>
    <cellStyle name="常规 2 2 2 2 2 6" xfId="12531"/>
    <cellStyle name="常规 2 2 2 2 3" xfId="12532"/>
    <cellStyle name="常规 2 2 2 2 3 2" xfId="12533"/>
    <cellStyle name="常规 2 2 2 2 4" xfId="12534"/>
    <cellStyle name="常规 2 2 2 2 4 2" xfId="12535"/>
    <cellStyle name="常规 2 2 2 2 5" xfId="12536"/>
    <cellStyle name="常规 2 2 2 2 5 2" xfId="12537"/>
    <cellStyle name="常规 2 2 2 2 6" xfId="12538"/>
    <cellStyle name="常规 2 2 2 2 8" xfId="12539"/>
    <cellStyle name="常规 2 2 2 2 9" xfId="12540"/>
    <cellStyle name="常规 2 2 2 3" xfId="12541"/>
    <cellStyle name="常规 2 2 2 3 2 2" xfId="12542"/>
    <cellStyle name="常规 2 2 2 3 3" xfId="12543"/>
    <cellStyle name="常规 2 2 2 3 3 2" xfId="12544"/>
    <cellStyle name="常规 2 2 2 3 4" xfId="12545"/>
    <cellStyle name="常规 2 2 2 3 5" xfId="12546"/>
    <cellStyle name="常规 2 2 2 4" xfId="12547"/>
    <cellStyle name="常规 2 2 2 4 2" xfId="12548"/>
    <cellStyle name="常规 2 2 2 4 2 2" xfId="12549"/>
    <cellStyle name="常规 2 2 2 4 3" xfId="12550"/>
    <cellStyle name="常规 2 2 2 5" xfId="12551"/>
    <cellStyle name="常规 2 2 2 5 2" xfId="12552"/>
    <cellStyle name="常规 2 2 2 6" xfId="12553"/>
    <cellStyle name="常规 2 2 2 7" xfId="12554"/>
    <cellStyle name="常规 2 2 2 9" xfId="12555"/>
    <cellStyle name="常规 2 2 25" xfId="12556"/>
    <cellStyle name="常规 2 2 3 2" xfId="12557"/>
    <cellStyle name="输出 2 3 5 2" xfId="12558"/>
    <cellStyle name="常规 2 2 3 2 2" xfId="12559"/>
    <cellStyle name="常规 2 2 3 2 2 2" xfId="12560"/>
    <cellStyle name="常规 2 2 3 2 2 3" xfId="12561"/>
    <cellStyle name="常规 2 2 3 2 3" xfId="12562"/>
    <cellStyle name="常规 2 2 3 3" xfId="12563"/>
    <cellStyle name="常规 2 2 3 3 2" xfId="12564"/>
    <cellStyle name="常规 2 2 3 3 2 2" xfId="12565"/>
    <cellStyle name="常规 2 2 3 3 3" xfId="12566"/>
    <cellStyle name="常规 2 2 3 4" xfId="12567"/>
    <cellStyle name="常规 2 2 3 4 2" xfId="12568"/>
    <cellStyle name="常规 2 2 3 5" xfId="12569"/>
    <cellStyle name="常规 2 2 3 6" xfId="12570"/>
    <cellStyle name="常规 2 2 4" xfId="12571"/>
    <cellStyle name="输出 2 3 6" xfId="12572"/>
    <cellStyle name="常规 2 2 4 10" xfId="12573"/>
    <cellStyle name="强调文字颜色 1 16" xfId="12574"/>
    <cellStyle name="常规 2 2 4 11" xfId="12575"/>
    <cellStyle name="强调文字颜色 1 17" xfId="12576"/>
    <cellStyle name="常规 2 2 4 13" xfId="12577"/>
    <cellStyle name="常规 2 2 4 14" xfId="12578"/>
    <cellStyle name="常规 2 2 4 2" xfId="12579"/>
    <cellStyle name="常规 2 2 4 2 2" xfId="12580"/>
    <cellStyle name="强调文字颜色 1 3 7" xfId="12581"/>
    <cellStyle name="常规 2 2 4 2 2 2" xfId="12582"/>
    <cellStyle name="强调文字颜色 1 3 7 2" xfId="12583"/>
    <cellStyle name="常规 2 2 4 2 3" xfId="12584"/>
    <cellStyle name="强调文字颜色 1 3 8" xfId="12585"/>
    <cellStyle name="常规 2 2 4 2 4" xfId="12586"/>
    <cellStyle name="强调文字颜色 1 3 9" xfId="12587"/>
    <cellStyle name="常规 2 2 4 3" xfId="12588"/>
    <cellStyle name="计算 2 5 2 2" xfId="12589"/>
    <cellStyle name="常规 2 2 4 3 2" xfId="12590"/>
    <cellStyle name="强调文字颜色 1 4 7" xfId="12591"/>
    <cellStyle name="常规 2 2 4 3 2 2" xfId="12592"/>
    <cellStyle name="强调文字颜色 1 4 7 2" xfId="12593"/>
    <cellStyle name="常规 2 2 4 4" xfId="12594"/>
    <cellStyle name="常规 2 2 4 5" xfId="12595"/>
    <cellStyle name="常规 2 2 4 5 2" xfId="12596"/>
    <cellStyle name="强调文字颜色 1 6 7" xfId="12597"/>
    <cellStyle name="常规 2 2 4 6" xfId="12598"/>
    <cellStyle name="常规 2 2 4 6 2" xfId="12599"/>
    <cellStyle name="强调文字颜色 1 7 7" xfId="12600"/>
    <cellStyle name="常规 2 2 4 7" xfId="12601"/>
    <cellStyle name="常规 2 2 4 8" xfId="12602"/>
    <cellStyle name="常规 2 2 4 9" xfId="12603"/>
    <cellStyle name="常规 2 2 5" xfId="12604"/>
    <cellStyle name="常规 2 2 5 11" xfId="12605"/>
    <cellStyle name="强调文字颜色 2 17" xfId="12606"/>
    <cellStyle name="常规 2 2 5 12" xfId="12607"/>
    <cellStyle name="常规 2 2 5 13" xfId="12608"/>
    <cellStyle name="常规 2 2 5 14" xfId="12609"/>
    <cellStyle name="常规 2 2 5 2" xfId="12610"/>
    <cellStyle name="常规 2 2 5 2 2" xfId="12611"/>
    <cellStyle name="强调文字颜色 2 3 7" xfId="12612"/>
    <cellStyle name="常规 2 2 5 2 3" xfId="12613"/>
    <cellStyle name="强调文字颜色 2 3 8" xfId="12614"/>
    <cellStyle name="常规 2 2 5 3" xfId="12615"/>
    <cellStyle name="常规 2 2 5 4" xfId="12616"/>
    <cellStyle name="常规 2 2 5 4 2" xfId="12617"/>
    <cellStyle name="强调文字颜色 2 5 7" xfId="12618"/>
    <cellStyle name="常规 2 2 5 5" xfId="12619"/>
    <cellStyle name="常规 2 2 5 5 2" xfId="12620"/>
    <cellStyle name="强调文字颜色 2 6 7" xfId="12621"/>
    <cellStyle name="常规 2 2 5 7" xfId="12622"/>
    <cellStyle name="常规 2 2 5 8" xfId="12623"/>
    <cellStyle name="常规 2 2 6" xfId="12624"/>
    <cellStyle name="常规 2 2 6 2 2" xfId="12625"/>
    <cellStyle name="千位分隔 3 2 3 4" xfId="12626"/>
    <cellStyle name="强调文字颜色 3 3 7" xfId="12627"/>
    <cellStyle name="常规 2 2 6 2 2 2" xfId="12628"/>
    <cellStyle name="强调文字颜色 3 3 7 2" xfId="12629"/>
    <cellStyle name="常规 2 2 6 3 2" xfId="12630"/>
    <cellStyle name="千位分隔 3 2 4 4" xfId="12631"/>
    <cellStyle name="强调文字颜色 3 4 7" xfId="12632"/>
    <cellStyle name="常规 2 2 6 4" xfId="12633"/>
    <cellStyle name="常规 2 2 6 5" xfId="12634"/>
    <cellStyle name="常规 2 2 7 2" xfId="12635"/>
    <cellStyle name="常规 2 2 7 2 2" xfId="12636"/>
    <cellStyle name="强调文字颜色 4 3 7" xfId="12637"/>
    <cellStyle name="常规 2 2 7 3" xfId="12638"/>
    <cellStyle name="常规 2 2 7 5" xfId="12639"/>
    <cellStyle name="常规 2 2 9 2 2" xfId="12640"/>
    <cellStyle name="强调文字颜色 6 3 7" xfId="12641"/>
    <cellStyle name="常规 2 2 9 3" xfId="12642"/>
    <cellStyle name="常规 2 2 9 4" xfId="12643"/>
    <cellStyle name="千位分隔 5 6 2 2" xfId="12644"/>
    <cellStyle name="常规 2 25" xfId="12645"/>
    <cellStyle name="常规 2 26" xfId="12646"/>
    <cellStyle name="常规 2 3" xfId="12647"/>
    <cellStyle name="常规 2 3 10" xfId="12648"/>
    <cellStyle name="常规 2 3 11" xfId="12649"/>
    <cellStyle name="常规 2 3 12" xfId="12650"/>
    <cellStyle name="常规 2 3 13" xfId="12651"/>
    <cellStyle name="常规 2 3 14" xfId="12652"/>
    <cellStyle name="常规 2 3 15" xfId="12653"/>
    <cellStyle name="常规 2 3 2" xfId="12654"/>
    <cellStyle name="输出 2 4 4" xfId="12655"/>
    <cellStyle name="常规 2 3 2 2" xfId="12656"/>
    <cellStyle name="常规 2 3 2 2 2" xfId="12657"/>
    <cellStyle name="常规 2 3 2 2 2 2" xfId="12658"/>
    <cellStyle name="常规 2 3 2 2 3" xfId="12659"/>
    <cellStyle name="常规 2 3 2 3" xfId="12660"/>
    <cellStyle name="常规 2 3 2 4" xfId="12661"/>
    <cellStyle name="常规 2 3 2 5" xfId="12662"/>
    <cellStyle name="常规 2 3 3" xfId="12663"/>
    <cellStyle name="输出 2 4 5" xfId="12664"/>
    <cellStyle name="常规 2 3 3 2" xfId="12665"/>
    <cellStyle name="输出 2 4 5 2" xfId="12666"/>
    <cellStyle name="常规 2 3 3 2 4" xfId="12667"/>
    <cellStyle name="常规 2 3 3 3" xfId="12668"/>
    <cellStyle name="常规 2 3 3 4" xfId="12669"/>
    <cellStyle name="常规 2 3 3 5" xfId="12670"/>
    <cellStyle name="常规 2 3 3 6" xfId="12671"/>
    <cellStyle name="常规 2 3 4" xfId="12672"/>
    <cellStyle name="输出 2 4 6" xfId="12673"/>
    <cellStyle name="常规 2 3 4 2" xfId="12674"/>
    <cellStyle name="常规 2 3 4 3" xfId="12675"/>
    <cellStyle name="常规 2 3 5" xfId="12676"/>
    <cellStyle name="常规 2 3 6" xfId="12677"/>
    <cellStyle name="强调文字颜色 1 2 3 2 2" xfId="12678"/>
    <cellStyle name="常规 2 4" xfId="12679"/>
    <cellStyle name="常规 2 4 10" xfId="12680"/>
    <cellStyle name="常规 2 4 11" xfId="12681"/>
    <cellStyle name="常规 2 4 12" xfId="12682"/>
    <cellStyle name="常规 2 4 13" xfId="12683"/>
    <cellStyle name="常规 2 4 14" xfId="12684"/>
    <cellStyle name="常规 2 4 2" xfId="12685"/>
    <cellStyle name="输出 2 5 4" xfId="12686"/>
    <cellStyle name="常规 2 4 2 2" xfId="12687"/>
    <cellStyle name="常规 2 4 3" xfId="12688"/>
    <cellStyle name="输出 2 5 5" xfId="12689"/>
    <cellStyle name="常规 2 4 3 2" xfId="12690"/>
    <cellStyle name="输出 2 5 5 2" xfId="12691"/>
    <cellStyle name="常规 2 4 4" xfId="12692"/>
    <cellStyle name="输出 2 5 6" xfId="12693"/>
    <cellStyle name="常规 2 4 4 2" xfId="12694"/>
    <cellStyle name="常规 2 4 5" xfId="12695"/>
    <cellStyle name="常规 2 4 6" xfId="12696"/>
    <cellStyle name="常规 2 4 7" xfId="12697"/>
    <cellStyle name="常规 2 5 10" xfId="12698"/>
    <cellStyle name="常规 2 5 11" xfId="12699"/>
    <cellStyle name="常规 2 5 12" xfId="12700"/>
    <cellStyle name="常规 2 5 13" xfId="12701"/>
    <cellStyle name="常规 2 5 15" xfId="12702"/>
    <cellStyle name="常规 2 5 2" xfId="12703"/>
    <cellStyle name="输出 2 6 4" xfId="12704"/>
    <cellStyle name="常规 2 5 2 2" xfId="12705"/>
    <cellStyle name="常规 2 5 3 2" xfId="12706"/>
    <cellStyle name="输出 2 6 5 2" xfId="12707"/>
    <cellStyle name="常规 2 5 4" xfId="12708"/>
    <cellStyle name="输出 2 6 6" xfId="12709"/>
    <cellStyle name="常规 2 5 5" xfId="12710"/>
    <cellStyle name="常规 2 5 6" xfId="12711"/>
    <cellStyle name="常规 2 5 7" xfId="12712"/>
    <cellStyle name="常规 2 5 9" xfId="12713"/>
    <cellStyle name="强调文字颜色 1 12 3 2 2" xfId="12714"/>
    <cellStyle name="常规 2 6" xfId="12715"/>
    <cellStyle name="强调文字颜色 2 7 11" xfId="12716"/>
    <cellStyle name="常规 2 6 2" xfId="12717"/>
    <cellStyle name="常规 2 6 2 2" xfId="12718"/>
    <cellStyle name="常规 2 6 3" xfId="12719"/>
    <cellStyle name="常规 2 6 4" xfId="12720"/>
    <cellStyle name="常规 2 6 5" xfId="12721"/>
    <cellStyle name="常规 2 6 6" xfId="12722"/>
    <cellStyle name="常规 2 7" xfId="12723"/>
    <cellStyle name="强调文字颜色 2 7 12" xfId="12724"/>
    <cellStyle name="常规 2 7 2" xfId="12725"/>
    <cellStyle name="常规 2 7 2 2" xfId="12726"/>
    <cellStyle name="常规 2 7 3" xfId="12727"/>
    <cellStyle name="常规 2 7 3 2" xfId="12728"/>
    <cellStyle name="常规 2 7 3 3" xfId="12729"/>
    <cellStyle name="常规 2 7 4" xfId="12730"/>
    <cellStyle name="常规 2 7 4 2" xfId="12731"/>
    <cellStyle name="常规 2 7 5" xfId="12732"/>
    <cellStyle name="常规 2 7 6" xfId="12733"/>
    <cellStyle name="常规 2 7 7" xfId="12734"/>
    <cellStyle name="常规 2 7 8" xfId="12735"/>
    <cellStyle name="常规 2 8" xfId="12736"/>
    <cellStyle name="检查单元格 8 3 2" xfId="12737"/>
    <cellStyle name="输入 2" xfId="12738"/>
    <cellStyle name="常规 2 8 2" xfId="12739"/>
    <cellStyle name="输入 2 2" xfId="12740"/>
    <cellStyle name="常规 2 8 2 2" xfId="12741"/>
    <cellStyle name="好 6 2 2 3" xfId="12742"/>
    <cellStyle name="输入 2 2 2" xfId="12743"/>
    <cellStyle name="常规 2 8 3" xfId="12744"/>
    <cellStyle name="输入 2 3" xfId="12745"/>
    <cellStyle name="常规 2 8 4" xfId="12746"/>
    <cellStyle name="输入 2 4" xfId="12747"/>
    <cellStyle name="常规 2 8 5" xfId="12748"/>
    <cellStyle name="输入 2 5" xfId="12749"/>
    <cellStyle name="常规 2 9" xfId="12750"/>
    <cellStyle name="输入 3" xfId="12751"/>
    <cellStyle name="常规 2 9 2" xfId="12752"/>
    <cellStyle name="输入 3 2" xfId="12753"/>
    <cellStyle name="常规 2 9 2 2" xfId="12754"/>
    <cellStyle name="输入 3 2 2" xfId="12755"/>
    <cellStyle name="常规 2 9 3" xfId="12756"/>
    <cellStyle name="输入 3 3" xfId="12757"/>
    <cellStyle name="常规 2 9 3 2" xfId="12758"/>
    <cellStyle name="输入 3 3 2" xfId="12759"/>
    <cellStyle name="常规 2 9 4" xfId="12760"/>
    <cellStyle name="输入 3 4" xfId="12761"/>
    <cellStyle name="常规 2 9 5" xfId="12762"/>
    <cellStyle name="输入 3 5" xfId="12763"/>
    <cellStyle name="常规 2_有机硅账龄12.." xfId="12764"/>
    <cellStyle name="常规 24" xfId="12765"/>
    <cellStyle name="常规 25" xfId="12766"/>
    <cellStyle name="常规 28" xfId="12767"/>
    <cellStyle name="常规 33" xfId="12768"/>
    <cellStyle name="常规 3" xfId="12769"/>
    <cellStyle name="常规 3 10" xfId="12770"/>
    <cellStyle name="常规 3 10 2" xfId="12771"/>
    <cellStyle name="常规 3 10 3" xfId="12772"/>
    <cellStyle name="常规 3 10 4" xfId="12773"/>
    <cellStyle name="常规 3 11" xfId="12774"/>
    <cellStyle name="常规 3 11 2" xfId="12775"/>
    <cellStyle name="常规 3 12" xfId="12776"/>
    <cellStyle name="常规 3 14" xfId="12777"/>
    <cellStyle name="常规 3 15" xfId="12778"/>
    <cellStyle name="常规 3 20" xfId="12779"/>
    <cellStyle name="常规 3 16" xfId="12780"/>
    <cellStyle name="常规 3 21" xfId="12781"/>
    <cellStyle name="常规 3 17" xfId="12782"/>
    <cellStyle name="常规 3 22" xfId="12783"/>
    <cellStyle name="常规 3 18" xfId="12784"/>
    <cellStyle name="检查单元格 10 2 2 2" xfId="12785"/>
    <cellStyle name="常规 3 19" xfId="12786"/>
    <cellStyle name="常规 3 2" xfId="12787"/>
    <cellStyle name="常规 3 2 10" xfId="12788"/>
    <cellStyle name="常规 3 2 11" xfId="12789"/>
    <cellStyle name="常规 3 2 2" xfId="12790"/>
    <cellStyle name="输出 3 3 4" xfId="12791"/>
    <cellStyle name="常规 3 2 2 2" xfId="12792"/>
    <cellStyle name="常规 3 2 2 2 2" xfId="12793"/>
    <cellStyle name="常规 3 2 2 2 2 2" xfId="12794"/>
    <cellStyle name="常规 3 2 2 2 3" xfId="12795"/>
    <cellStyle name="常规 3 2 2 3 2" xfId="12796"/>
    <cellStyle name="常规 3 2 2 4 2" xfId="12797"/>
    <cellStyle name="好 4" xfId="12798"/>
    <cellStyle name="常规 3 2 3" xfId="12799"/>
    <cellStyle name="输出 3 3 5" xfId="12800"/>
    <cellStyle name="常规 3 2 3 2" xfId="12801"/>
    <cellStyle name="输出 3 3 5 2" xfId="12802"/>
    <cellStyle name="常规 3 2 3 2 2" xfId="12803"/>
    <cellStyle name="常规 3 2 3 2 2 2" xfId="12804"/>
    <cellStyle name="常规 3 2 3 3 2" xfId="12805"/>
    <cellStyle name="常规 3 2 3 4 2" xfId="12806"/>
    <cellStyle name="常规 3 2 4" xfId="12807"/>
    <cellStyle name="输出 3 3 6" xfId="12808"/>
    <cellStyle name="常规 3 2 4 2" xfId="12809"/>
    <cellStyle name="常规 3 2 4 2 2" xfId="12810"/>
    <cellStyle name="常规 3 2 4 3 2" xfId="12811"/>
    <cellStyle name="常规 3 2 5" xfId="12812"/>
    <cellStyle name="常规 3 2 5 2 2" xfId="12813"/>
    <cellStyle name="常规 3 2 6" xfId="12814"/>
    <cellStyle name="常规 3 2 7" xfId="12815"/>
    <cellStyle name="常规 3 2 7 2" xfId="12816"/>
    <cellStyle name="常规 3 3" xfId="12817"/>
    <cellStyle name="常规 3 3 10" xfId="12818"/>
    <cellStyle name="常规 3 3 11" xfId="12819"/>
    <cellStyle name="常规 3 3 2" xfId="12820"/>
    <cellStyle name="输出 3 4 4" xfId="12821"/>
    <cellStyle name="常规 3 3 2 2" xfId="12822"/>
    <cellStyle name="常规 3 3 2 2 2" xfId="12823"/>
    <cellStyle name="常规 3 3 2 2 2 2" xfId="12824"/>
    <cellStyle name="常规 3 3 2 2 3" xfId="12825"/>
    <cellStyle name="常规 3 3 2 3" xfId="12826"/>
    <cellStyle name="常规 3 3 2 4" xfId="12827"/>
    <cellStyle name="常规 3 3 2 5" xfId="12828"/>
    <cellStyle name="常规 3 3 3" xfId="12829"/>
    <cellStyle name="输出 3 4 5" xfId="12830"/>
    <cellStyle name="常规 3 3 3 2" xfId="12831"/>
    <cellStyle name="输出 3 4 5 2" xfId="12832"/>
    <cellStyle name="常规 3 3 3 2 2" xfId="12833"/>
    <cellStyle name="常规 3 3 3 2 2 2" xfId="12834"/>
    <cellStyle name="常规 3 3 3 2 3" xfId="12835"/>
    <cellStyle name="常规 3 3 3 3" xfId="12836"/>
    <cellStyle name="常规 3 3 3 3 2" xfId="12837"/>
    <cellStyle name="常规 3 3 3 4" xfId="12838"/>
    <cellStyle name="常规 3 3 4" xfId="12839"/>
    <cellStyle name="输出 3 4 6" xfId="12840"/>
    <cellStyle name="常规 3 3 4 2" xfId="12841"/>
    <cellStyle name="常规 3 3 4 2 2" xfId="12842"/>
    <cellStyle name="常规 3 3 4 3" xfId="12843"/>
    <cellStyle name="常规 3 3 5" xfId="12844"/>
    <cellStyle name="常规 3 3 5 2" xfId="12845"/>
    <cellStyle name="常规 3 3 6" xfId="12846"/>
    <cellStyle name="强调文字颜色 1 2 4 2 2" xfId="12847"/>
    <cellStyle name="常规 3 3 6 2" xfId="12848"/>
    <cellStyle name="常规 3 3 7" xfId="12849"/>
    <cellStyle name="常规 3 4" xfId="12850"/>
    <cellStyle name="常规 3 4 2" xfId="12851"/>
    <cellStyle name="输出 3 5 4" xfId="12852"/>
    <cellStyle name="常规 3 4 2 2" xfId="12853"/>
    <cellStyle name="输出 3 5 4 2" xfId="12854"/>
    <cellStyle name="常规 3 4 2 2 2" xfId="12855"/>
    <cellStyle name="常规 3 4 2 3" xfId="12856"/>
    <cellStyle name="常规 3 4 3" xfId="12857"/>
    <cellStyle name="输出 3 5 5" xfId="12858"/>
    <cellStyle name="常规 3 4 3 2" xfId="12859"/>
    <cellStyle name="输出 3 5 5 2" xfId="12860"/>
    <cellStyle name="常规 3 4 4" xfId="12861"/>
    <cellStyle name="输出 3 5 6" xfId="12862"/>
    <cellStyle name="常规 3 4 5" xfId="12863"/>
    <cellStyle name="常规 3 4 6" xfId="12864"/>
    <cellStyle name="常规 3 5" xfId="12865"/>
    <cellStyle name="常规 3 5 2" xfId="12866"/>
    <cellStyle name="输出 3 6 4" xfId="12867"/>
    <cellStyle name="常规 3 5 2 2" xfId="12868"/>
    <cellStyle name="常规 3 5 2 2 2" xfId="12869"/>
    <cellStyle name="常规 3 5 2 3" xfId="12870"/>
    <cellStyle name="常规 3 5 3" xfId="12871"/>
    <cellStyle name="输出 3 6 5" xfId="12872"/>
    <cellStyle name="常规 3 5 3 2" xfId="12873"/>
    <cellStyle name="输出 3 6 5 2" xfId="12874"/>
    <cellStyle name="常规 3 5 4" xfId="12875"/>
    <cellStyle name="输出 3 6 6" xfId="12876"/>
    <cellStyle name="常规 3 5 5" xfId="12877"/>
    <cellStyle name="常规 3 6" xfId="12878"/>
    <cellStyle name="解释性文本 4 2 2 2" xfId="12879"/>
    <cellStyle name="常规 3 6 2 2" xfId="12880"/>
    <cellStyle name="常规 3 6 3 2" xfId="12881"/>
    <cellStyle name="常规 3 7" xfId="12882"/>
    <cellStyle name="常规 3 7 2" xfId="12883"/>
    <cellStyle name="常规 3 7 2 2" xfId="12884"/>
    <cellStyle name="常规 3 7 3" xfId="12885"/>
    <cellStyle name="常规 3 7 4" xfId="12886"/>
    <cellStyle name="常规 3 8" xfId="12887"/>
    <cellStyle name="检查单元格 8 4 2" xfId="12888"/>
    <cellStyle name="常规 3 8 2" xfId="12889"/>
    <cellStyle name="常规 3 8 3" xfId="12890"/>
    <cellStyle name="常规 3 8 4" xfId="12891"/>
    <cellStyle name="常规 3 9" xfId="12892"/>
    <cellStyle name="常规 3 9 2" xfId="12893"/>
    <cellStyle name="常规 3 9 4" xfId="12894"/>
    <cellStyle name="常规 3 9 5" xfId="12895"/>
    <cellStyle name="常规 3_有机硅账龄12.." xfId="12896"/>
    <cellStyle name="好_中航文化序时账&amp;余额表" xfId="12897"/>
    <cellStyle name="常规 38" xfId="12898"/>
    <cellStyle name="强调文字颜色 2 8 4" xfId="12899"/>
    <cellStyle name="常规 39 23" xfId="12900"/>
    <cellStyle name="常规 4" xfId="12901"/>
    <cellStyle name="强调文字颜色 3 12 7 2" xfId="12902"/>
    <cellStyle name="常规 4 10" xfId="12903"/>
    <cellStyle name="常规 4 11" xfId="12904"/>
    <cellStyle name="常规 4 12" xfId="12905"/>
    <cellStyle name="常规 4 13" xfId="12906"/>
    <cellStyle name="常规 4 14" xfId="12907"/>
    <cellStyle name="常规 4 2" xfId="12908"/>
    <cellStyle name="常规 4 2 10" xfId="12909"/>
    <cellStyle name="常规 4 2 11" xfId="12910"/>
    <cellStyle name="常规 4 2 12" xfId="12911"/>
    <cellStyle name="常规 4 2 2" xfId="12912"/>
    <cellStyle name="输出 4 3 4" xfId="12913"/>
    <cellStyle name="常规 4 2 2 2" xfId="12914"/>
    <cellStyle name="好 14 4" xfId="12915"/>
    <cellStyle name="常规 4 2 2 2 2" xfId="12916"/>
    <cellStyle name="常规 4 2 2 2 2 2" xfId="12917"/>
    <cellStyle name="常规 4 2 2 2 3" xfId="12918"/>
    <cellStyle name="常规 4 2 2 3" xfId="12919"/>
    <cellStyle name="常规 7 11 2" xfId="12920"/>
    <cellStyle name="常规 4 2 3" xfId="12921"/>
    <cellStyle name="输出 4 3 5" xfId="12922"/>
    <cellStyle name="常规 4 2 3 2" xfId="12923"/>
    <cellStyle name="输出 4 3 5 2" xfId="12924"/>
    <cellStyle name="常规 4 2 3 2 2" xfId="12925"/>
    <cellStyle name="常规 4 2 3 2 2 2" xfId="12926"/>
    <cellStyle name="常规 7 17" xfId="12927"/>
    <cellStyle name="常规 7 22" xfId="12928"/>
    <cellStyle name="常规 4 2 3 2 3" xfId="12929"/>
    <cellStyle name="常规 4 2 3 3" xfId="12930"/>
    <cellStyle name="常规 7 12 2" xfId="12931"/>
    <cellStyle name="常规 4 2 3 3 2" xfId="12932"/>
    <cellStyle name="常规 4 2 4" xfId="12933"/>
    <cellStyle name="输出 4 3 6" xfId="12934"/>
    <cellStyle name="常规 4 2 4 2" xfId="12935"/>
    <cellStyle name="常规 4 2 4 3" xfId="12936"/>
    <cellStyle name="常规 7 13 2" xfId="12937"/>
    <cellStyle name="常规 4 2 5" xfId="12938"/>
    <cellStyle name="常规 4 2 6" xfId="12939"/>
    <cellStyle name="常规 4 2 7" xfId="12940"/>
    <cellStyle name="常规 4 3" xfId="12941"/>
    <cellStyle name="常规 4 3 10" xfId="12942"/>
    <cellStyle name="好 10 3 3" xfId="12943"/>
    <cellStyle name="常规 4 3 11" xfId="12944"/>
    <cellStyle name="常规 4 3 12" xfId="12945"/>
    <cellStyle name="常规 4 3 2" xfId="12946"/>
    <cellStyle name="输出 4 4 4" xfId="12947"/>
    <cellStyle name="常规 4 3 2 2" xfId="12948"/>
    <cellStyle name="常规 4 3 2 2 2" xfId="12949"/>
    <cellStyle name="常规 4 3 2 3" xfId="12950"/>
    <cellStyle name="常规 4 3 3" xfId="12951"/>
    <cellStyle name="输出 4 4 5" xfId="12952"/>
    <cellStyle name="常规 4 3 3 2" xfId="12953"/>
    <cellStyle name="输出 4 4 5 2" xfId="12954"/>
    <cellStyle name="常规 4 4" xfId="12955"/>
    <cellStyle name="注释 11 2 2" xfId="12956"/>
    <cellStyle name="常规 4 4 2" xfId="12957"/>
    <cellStyle name="输出 4 5 4" xfId="12958"/>
    <cellStyle name="注释 11 2 2 2" xfId="12959"/>
    <cellStyle name="常规 4 4 2 2" xfId="12960"/>
    <cellStyle name="输出 4 5 4 2" xfId="12961"/>
    <cellStyle name="常规 4 4 2 2 2" xfId="12962"/>
    <cellStyle name="注释 2 11" xfId="12963"/>
    <cellStyle name="常规 4 4 2 3" xfId="12964"/>
    <cellStyle name="常规 4 4 3" xfId="12965"/>
    <cellStyle name="输出 4 5 5" xfId="12966"/>
    <cellStyle name="常规 4 4 3 2" xfId="12967"/>
    <cellStyle name="输出 4 5 5 2" xfId="12968"/>
    <cellStyle name="常规 4 5" xfId="12969"/>
    <cellStyle name="注释 11 2 3" xfId="12970"/>
    <cellStyle name="常规 4 5 2" xfId="12971"/>
    <cellStyle name="输出 4 6 4" xfId="12972"/>
    <cellStyle name="注释 11 2 3 2" xfId="12973"/>
    <cellStyle name="常规 4 5 2 2" xfId="12974"/>
    <cellStyle name="常规 4 5 3" xfId="12975"/>
    <cellStyle name="输出 4 6 5" xfId="12976"/>
    <cellStyle name="常规 4 6" xfId="12977"/>
    <cellStyle name="注释 11 2 4" xfId="12978"/>
    <cellStyle name="常规 4 6 2" xfId="12979"/>
    <cellStyle name="链接单元格 9" xfId="12980"/>
    <cellStyle name="常规 4 6 2 2" xfId="12981"/>
    <cellStyle name="链接单元格 9 2" xfId="12982"/>
    <cellStyle name="常规 4 6 3" xfId="12983"/>
    <cellStyle name="常规 4 7" xfId="12984"/>
    <cellStyle name="注释 11 2 5" xfId="12985"/>
    <cellStyle name="常规 4 8" xfId="12986"/>
    <cellStyle name="检查单元格 8 5 2" xfId="12987"/>
    <cellStyle name="千位分隔 4 2 2 2" xfId="12988"/>
    <cellStyle name="注释 11 2 6" xfId="12989"/>
    <cellStyle name="常规 4 9" xfId="12990"/>
    <cellStyle name="千位分隔 4 2 2 3" xfId="12991"/>
    <cellStyle name="常规 4_有机硅账龄12.." xfId="12992"/>
    <cellStyle name="常规 41" xfId="12993"/>
    <cellStyle name="强调文字颜色 2 8 2" xfId="12994"/>
    <cellStyle name="常规 44" xfId="12995"/>
    <cellStyle name="强调文字颜色 2 8 5" xfId="12996"/>
    <cellStyle name="常规 46" xfId="12997"/>
    <cellStyle name="强调文字颜色 2 8 7" xfId="12998"/>
    <cellStyle name="常规 49" xfId="12999"/>
    <cellStyle name="警告文本 12 3 2 2" xfId="13000"/>
    <cellStyle name="常规 5" xfId="13001"/>
    <cellStyle name="常规 5 10" xfId="13002"/>
    <cellStyle name="常规 5 10 2" xfId="13003"/>
    <cellStyle name="好 16" xfId="13004"/>
    <cellStyle name="常规 5 11" xfId="13005"/>
    <cellStyle name="常规 5 11 2" xfId="13006"/>
    <cellStyle name="常规 5 12 2" xfId="13007"/>
    <cellStyle name="常规 5 13" xfId="13008"/>
    <cellStyle name="常规 5 14" xfId="13009"/>
    <cellStyle name="常规 5 2" xfId="13010"/>
    <cellStyle name="常规 5 2 10" xfId="13011"/>
    <cellStyle name="常规 5 2 11" xfId="13012"/>
    <cellStyle name="常规 5 2 13" xfId="13013"/>
    <cellStyle name="常规 5 2 14" xfId="13014"/>
    <cellStyle name="常规 5 2 15" xfId="13015"/>
    <cellStyle name="常规 5 2 16" xfId="13016"/>
    <cellStyle name="常规 5 2 2" xfId="13017"/>
    <cellStyle name="输出 5 3 4" xfId="13018"/>
    <cellStyle name="常规 5 2 2 10" xfId="13019"/>
    <cellStyle name="常规 5 2 2 11" xfId="13020"/>
    <cellStyle name="常规 5 2 2 12" xfId="13021"/>
    <cellStyle name="常规 5 2 2 2" xfId="13022"/>
    <cellStyle name="常规 5 2 2 2 2" xfId="13023"/>
    <cellStyle name="常规 5 2 2 2 2 2" xfId="13024"/>
    <cellStyle name="常规 5 4 2 4" xfId="13025"/>
    <cellStyle name="常规 5 2 2 2 3" xfId="13026"/>
    <cellStyle name="常规 5 2 2 2 4" xfId="13027"/>
    <cellStyle name="常规 5 2 2 2 5" xfId="13028"/>
    <cellStyle name="常规 5 2 2 2 6" xfId="13029"/>
    <cellStyle name="常规 5 2 2 3" xfId="13030"/>
    <cellStyle name="常规 5 2 2 3 2" xfId="13031"/>
    <cellStyle name="常规 5 2 2 3 2 2" xfId="13032"/>
    <cellStyle name="常规 5 5 2 4" xfId="13033"/>
    <cellStyle name="常规 5 2 2 3 3" xfId="13034"/>
    <cellStyle name="常规 5 2 2 3 4" xfId="13035"/>
    <cellStyle name="常规 5 2 2 4" xfId="13036"/>
    <cellStyle name="常规 5 2 2 5" xfId="13037"/>
    <cellStyle name="常规 5 2 2 5 2" xfId="13038"/>
    <cellStyle name="常规 5 2 2 6" xfId="13039"/>
    <cellStyle name="常规 5 2 2 6 2" xfId="13040"/>
    <cellStyle name="常规 5 2 2 9" xfId="13041"/>
    <cellStyle name="常规 5 2 3" xfId="13042"/>
    <cellStyle name="输出 5 3 5" xfId="13043"/>
    <cellStyle name="常规 5 2 3 2" xfId="13044"/>
    <cellStyle name="输出 5 3 5 2" xfId="13045"/>
    <cellStyle name="常规 5 2 3 2 2" xfId="13046"/>
    <cellStyle name="常规 5 2 3 3" xfId="13047"/>
    <cellStyle name="常规 5 2 3 4" xfId="13048"/>
    <cellStyle name="常规 5 2 3 5" xfId="13049"/>
    <cellStyle name="常规 5 2 3 6" xfId="13050"/>
    <cellStyle name="常规 5 2 4" xfId="13051"/>
    <cellStyle name="输出 5 3 6" xfId="13052"/>
    <cellStyle name="常规 5 2 4 2" xfId="13053"/>
    <cellStyle name="输入 13 2 3" xfId="13054"/>
    <cellStyle name="常规 5 2 4 2 2" xfId="13055"/>
    <cellStyle name="输入 13 2 3 2" xfId="13056"/>
    <cellStyle name="常规 5 2 4 3" xfId="13057"/>
    <cellStyle name="输入 13 2 4" xfId="13058"/>
    <cellStyle name="常规 5 2 4 4" xfId="13059"/>
    <cellStyle name="输入 13 2 5" xfId="13060"/>
    <cellStyle name="常规 5 2 5" xfId="13061"/>
    <cellStyle name="常规 5 2 5 2" xfId="13062"/>
    <cellStyle name="输入 13 3 3" xfId="13063"/>
    <cellStyle name="常规 5 2 6" xfId="13064"/>
    <cellStyle name="常规 5 2 7" xfId="13065"/>
    <cellStyle name="常规 5 2 7 2" xfId="13066"/>
    <cellStyle name="输入 13 5 3" xfId="13067"/>
    <cellStyle name="常规 5 3" xfId="13068"/>
    <cellStyle name="常规 5 3 10" xfId="13069"/>
    <cellStyle name="常规 5 3 11" xfId="13070"/>
    <cellStyle name="常规 5 3 12" xfId="13071"/>
    <cellStyle name="好 6 2 2 2 2" xfId="13072"/>
    <cellStyle name="常规 5 3 14" xfId="13073"/>
    <cellStyle name="常规 5 3 2" xfId="13074"/>
    <cellStyle name="输出 5 4 4" xfId="13075"/>
    <cellStyle name="常规 5 3 2 10" xfId="13076"/>
    <cellStyle name="常规 5 3 2 2" xfId="13077"/>
    <cellStyle name="常规 5 3 2 2 2" xfId="13078"/>
    <cellStyle name="常规 5 3 2 2 2 2" xfId="13079"/>
    <cellStyle name="常规 5 3 2 2 3" xfId="13080"/>
    <cellStyle name="常规 5 3 2 2 4" xfId="13081"/>
    <cellStyle name="常规 5 3 2 2 5" xfId="13082"/>
    <cellStyle name="常规 5 3 2 2 6" xfId="13083"/>
    <cellStyle name="常规 5 3 2 3" xfId="13084"/>
    <cellStyle name="常规 5 3 2 3 2" xfId="13085"/>
    <cellStyle name="常规 5 3 2 3 2 2" xfId="13086"/>
    <cellStyle name="常规 5 3 2 3 3" xfId="13087"/>
    <cellStyle name="常规 5 3 2 3 4" xfId="13088"/>
    <cellStyle name="常规 5 3 2 4" xfId="13089"/>
    <cellStyle name="常规 5 3 2 5" xfId="13090"/>
    <cellStyle name="常规 5 3 2 6" xfId="13091"/>
    <cellStyle name="常规 5 3 2 7" xfId="13092"/>
    <cellStyle name="常规 5 3 2 8" xfId="13093"/>
    <cellStyle name="常规 5 3 2 9" xfId="13094"/>
    <cellStyle name="常规 5 3 3" xfId="13095"/>
    <cellStyle name="输出 5 4 5" xfId="13096"/>
    <cellStyle name="常规 5 3 3 2" xfId="13097"/>
    <cellStyle name="输出 5 4 5 2" xfId="13098"/>
    <cellStyle name="常规 5 3 3 2 2" xfId="13099"/>
    <cellStyle name="常规 5 3 3 3" xfId="13100"/>
    <cellStyle name="常规 5 3 3 4" xfId="13101"/>
    <cellStyle name="常规 5 3 3 5" xfId="13102"/>
    <cellStyle name="常规 5 3 3 6" xfId="13103"/>
    <cellStyle name="常规 5 3 3 7" xfId="13104"/>
    <cellStyle name="常规 5 3 4 4" xfId="13105"/>
    <cellStyle name="常规 5 3 6 2" xfId="13106"/>
    <cellStyle name="常规 5 3 7 2" xfId="13107"/>
    <cellStyle name="常规 5 4" xfId="13108"/>
    <cellStyle name="注释 11 3 2" xfId="13109"/>
    <cellStyle name="常规 5 4 10" xfId="13110"/>
    <cellStyle name="常规 5 4 11" xfId="13111"/>
    <cellStyle name="常规 5 4 12" xfId="13112"/>
    <cellStyle name="常规 5 4 13" xfId="13113"/>
    <cellStyle name="常规 5 4 14" xfId="13114"/>
    <cellStyle name="常规 5 4 15" xfId="13115"/>
    <cellStyle name="常规 5 4 16" xfId="13116"/>
    <cellStyle name="强调文字颜色 4 2 7 2" xfId="13117"/>
    <cellStyle name="常规 5 4 2" xfId="13118"/>
    <cellStyle name="输出 5 5 4" xfId="13119"/>
    <cellStyle name="注释 11 3 2 2" xfId="13120"/>
    <cellStyle name="常规 5 4 2 10" xfId="13121"/>
    <cellStyle name="常规 5 4 2 2" xfId="13122"/>
    <cellStyle name="输出 5 5 4 2" xfId="13123"/>
    <cellStyle name="常规 5 4 2 2 2" xfId="13124"/>
    <cellStyle name="常规 5 4 2 2 2 2" xfId="13125"/>
    <cellStyle name="常规 5 4 2 2 2 3" xfId="13126"/>
    <cellStyle name="常规 5 4 2 2 3" xfId="13127"/>
    <cellStyle name="常规 5 4 2 2 4" xfId="13128"/>
    <cellStyle name="常规 5 4 2 2 5" xfId="13129"/>
    <cellStyle name="常规 5 4 2 2 6" xfId="13130"/>
    <cellStyle name="常规 5 4 2 3" xfId="13131"/>
    <cellStyle name="常规 5 4 2 3 2" xfId="13132"/>
    <cellStyle name="常规 5 4 2 5" xfId="13133"/>
    <cellStyle name="常规 5 4 2 6" xfId="13134"/>
    <cellStyle name="常规 5 4 2 7" xfId="13135"/>
    <cellStyle name="千位分隔 6 2" xfId="13136"/>
    <cellStyle name="常规 5 4 2 8" xfId="13137"/>
    <cellStyle name="千位分隔 6 3" xfId="13138"/>
    <cellStyle name="常规 5 4 2 9" xfId="13139"/>
    <cellStyle name="千位分隔 6 4" xfId="13140"/>
    <cellStyle name="常规 5 4 3" xfId="13141"/>
    <cellStyle name="输出 5 5 5" xfId="13142"/>
    <cellStyle name="常规 5 4 3 2" xfId="13143"/>
    <cellStyle name="输出 5 5 5 2" xfId="13144"/>
    <cellStyle name="常规 5 4 3 2 2" xfId="13145"/>
    <cellStyle name="常规 5 4 3 2 3" xfId="13146"/>
    <cellStyle name="常规 5 4 3 4" xfId="13147"/>
    <cellStyle name="常规 5 4 3 6" xfId="13148"/>
    <cellStyle name="常规 5 4 3 7" xfId="13149"/>
    <cellStyle name="千位分隔 7 2" xfId="13150"/>
    <cellStyle name="常规 5 4 6 2" xfId="13151"/>
    <cellStyle name="常规 5 4 7" xfId="13152"/>
    <cellStyle name="常规 5 4 7 2" xfId="13153"/>
    <cellStyle name="输出 14" xfId="13154"/>
    <cellStyle name="常规 5 5" xfId="13155"/>
    <cellStyle name="注释 11 3 3" xfId="13156"/>
    <cellStyle name="常规 5 5 10" xfId="13157"/>
    <cellStyle name="常规 5 5 11" xfId="13158"/>
    <cellStyle name="常规 5 5 12" xfId="13159"/>
    <cellStyle name="常规 5 5 14" xfId="13160"/>
    <cellStyle name="常规 5 5 15" xfId="13161"/>
    <cellStyle name="常规 5 5 2" xfId="13162"/>
    <cellStyle name="输出 5 6 4" xfId="13163"/>
    <cellStyle name="注释 11 3 3 2" xfId="13164"/>
    <cellStyle name="常规 5 5 2 2" xfId="13165"/>
    <cellStyle name="常规 5 5 2 2 2" xfId="13166"/>
    <cellStyle name="常规 5 5 2 2 3" xfId="13167"/>
    <cellStyle name="常规 5 5 2 3" xfId="13168"/>
    <cellStyle name="常规 5 5 2 5" xfId="13169"/>
    <cellStyle name="常规 5 5 2 6" xfId="13170"/>
    <cellStyle name="常规 5 5 2 7" xfId="13171"/>
    <cellStyle name="常规 5 5 3" xfId="13172"/>
    <cellStyle name="输出 5 6 5" xfId="13173"/>
    <cellStyle name="常规 5 5 3 2" xfId="13174"/>
    <cellStyle name="输出 5 6 5 2" xfId="13175"/>
    <cellStyle name="常规 5 5 3 3" xfId="13176"/>
    <cellStyle name="常规 5 5 5 2" xfId="13177"/>
    <cellStyle name="常规 5 5 6" xfId="13178"/>
    <cellStyle name="常规 5 5 6 2" xfId="13179"/>
    <cellStyle name="常规 5 5 7" xfId="13180"/>
    <cellStyle name="常规 5 5 9" xfId="13181"/>
    <cellStyle name="常规 5 6" xfId="13182"/>
    <cellStyle name="注释 11 3 4" xfId="13183"/>
    <cellStyle name="常规 5 6 2" xfId="13184"/>
    <cellStyle name="常规 5 6 2 2" xfId="13185"/>
    <cellStyle name="常规 5 6 2 2 2" xfId="13186"/>
    <cellStyle name="常规 5 6 2 3" xfId="13187"/>
    <cellStyle name="常规 5 6 3" xfId="13188"/>
    <cellStyle name="常规 5 6 3 2" xfId="13189"/>
    <cellStyle name="常规 5 6 5" xfId="13190"/>
    <cellStyle name="常规 5 6 6" xfId="13191"/>
    <cellStyle name="常规 5 6 7" xfId="13192"/>
    <cellStyle name="常规 5 7" xfId="13193"/>
    <cellStyle name="注释 11 3 5" xfId="13194"/>
    <cellStyle name="常规 5 7 2" xfId="13195"/>
    <cellStyle name="常规 5 7 3" xfId="13196"/>
    <cellStyle name="常规 5 7 5" xfId="13197"/>
    <cellStyle name="常规 5 8 4" xfId="13198"/>
    <cellStyle name="常规 53" xfId="13199"/>
    <cellStyle name="强调文字颜色 2 8 9" xfId="13200"/>
    <cellStyle name="常规 55" xfId="13201"/>
    <cellStyle name="常规 60" xfId="13202"/>
    <cellStyle name="计算 6 6 2" xfId="13203"/>
    <cellStyle name="常规 56" xfId="13204"/>
    <cellStyle name="计算 6 6 3" xfId="13205"/>
    <cellStyle name="常规 57" xfId="13206"/>
    <cellStyle name="计算 6 6 4" xfId="13207"/>
    <cellStyle name="常规 57 2" xfId="13208"/>
    <cellStyle name="常规 59" xfId="13209"/>
    <cellStyle name="常规 6" xfId="13210"/>
    <cellStyle name="常规 6 10" xfId="13211"/>
    <cellStyle name="常规 6 2" xfId="13212"/>
    <cellStyle name="常规 6 2 10" xfId="13213"/>
    <cellStyle name="输出 13 5 5 2" xfId="13214"/>
    <cellStyle name="常规 6 2 11" xfId="13215"/>
    <cellStyle name="常规 6 2 12" xfId="13216"/>
    <cellStyle name="常规 6 2 2" xfId="13217"/>
    <cellStyle name="输出 6 3 4" xfId="13218"/>
    <cellStyle name="常规 6 2 2 10" xfId="13219"/>
    <cellStyle name="常规 6 2 2 2" xfId="13220"/>
    <cellStyle name="常规 6 2 2 2 2 2" xfId="13221"/>
    <cellStyle name="常规 6 2 2 2 3" xfId="13222"/>
    <cellStyle name="常规 6 2 2 2 4" xfId="13223"/>
    <cellStyle name="常规 6 2 2 2 5" xfId="13224"/>
    <cellStyle name="常规 6 2 2 2 6" xfId="13225"/>
    <cellStyle name="常规 6 2 2 2 7" xfId="13226"/>
    <cellStyle name="常规 6 2 2 3" xfId="13227"/>
    <cellStyle name="常规 6 2 2 3 2" xfId="13228"/>
    <cellStyle name="常规 6 2 2 4" xfId="13229"/>
    <cellStyle name="常规 6 2 2 5" xfId="13230"/>
    <cellStyle name="常规 6 2 2 6" xfId="13231"/>
    <cellStyle name="常规 6 2 2 9" xfId="13232"/>
    <cellStyle name="常规 6 2 3" xfId="13233"/>
    <cellStyle name="输出 6 3 5" xfId="13234"/>
    <cellStyle name="常规 6 2 3 2" xfId="13235"/>
    <cellStyle name="输出 6 3 5 2" xfId="13236"/>
    <cellStyle name="常规 6 2 3 2 2" xfId="13237"/>
    <cellStyle name="常规 6 2 3 3" xfId="13238"/>
    <cellStyle name="常规 6 2 3 4" xfId="13239"/>
    <cellStyle name="常规 6 2 3 5" xfId="13240"/>
    <cellStyle name="常规 6 2 3 6" xfId="13241"/>
    <cellStyle name="常规 6 2 4" xfId="13242"/>
    <cellStyle name="输出 6 3 6" xfId="13243"/>
    <cellStyle name="常规 6 2 4 2" xfId="13244"/>
    <cellStyle name="常规 6 2 5" xfId="13245"/>
    <cellStyle name="常规 6 2 6" xfId="13246"/>
    <cellStyle name="常规 6 2 6 2" xfId="13247"/>
    <cellStyle name="常规 6 2 7" xfId="13248"/>
    <cellStyle name="常规 6 2 7 2" xfId="13249"/>
    <cellStyle name="常规 6 3" xfId="13250"/>
    <cellStyle name="常规 6 3 2" xfId="13251"/>
    <cellStyle name="输出 6 4 4" xfId="13252"/>
    <cellStyle name="常规 6 3 2 10" xfId="13253"/>
    <cellStyle name="常规 6 3 2 2" xfId="13254"/>
    <cellStyle name="常规 6 3 2 2 2" xfId="13255"/>
    <cellStyle name="常规 6 3 2 2 2 2" xfId="13256"/>
    <cellStyle name="常规 6 3 2 2 3" xfId="13257"/>
    <cellStyle name="常规 6 3 2 2 4" xfId="13258"/>
    <cellStyle name="常规 6 3 2 2 5" xfId="13259"/>
    <cellStyle name="常规 6 3 2 2 6" xfId="13260"/>
    <cellStyle name="常规 6 3 2 2 7" xfId="13261"/>
    <cellStyle name="常规 6 3 2 3" xfId="13262"/>
    <cellStyle name="常规 6 3 2 3 2" xfId="13263"/>
    <cellStyle name="常规 6 3 2 4" xfId="13264"/>
    <cellStyle name="常规 6 3 2 5" xfId="13265"/>
    <cellStyle name="常规 6 3 2 6" xfId="13266"/>
    <cellStyle name="常规 6 3 2 7" xfId="13267"/>
    <cellStyle name="常规 6 3 2 8" xfId="13268"/>
    <cellStyle name="常规 6 3 2 9" xfId="13269"/>
    <cellStyle name="常规 6 3 3" xfId="13270"/>
    <cellStyle name="输出 6 4 5" xfId="13271"/>
    <cellStyle name="常规 6 3 3 2" xfId="13272"/>
    <cellStyle name="输出 6 4 5 2" xfId="13273"/>
    <cellStyle name="常规 6 3 3 2 2" xfId="13274"/>
    <cellStyle name="常规 6 3 3 3" xfId="13275"/>
    <cellStyle name="常规 6 3 3 4" xfId="13276"/>
    <cellStyle name="常规 6 3 3 5" xfId="13277"/>
    <cellStyle name="常规 6 3 3 6" xfId="13278"/>
    <cellStyle name="常规 6 3 3 7" xfId="13279"/>
    <cellStyle name="常规 6 3 6 2" xfId="13280"/>
    <cellStyle name="常规 6 3 7 2" xfId="13281"/>
    <cellStyle name="常规 6 3 9" xfId="13282"/>
    <cellStyle name="常规 6 4" xfId="13283"/>
    <cellStyle name="好 12 2 2 2" xfId="13284"/>
    <cellStyle name="注释 11 4 2" xfId="13285"/>
    <cellStyle name="常规 6 4 2" xfId="13286"/>
    <cellStyle name="好 12 2 2 2 2" xfId="13287"/>
    <cellStyle name="输出 6 5 4" xfId="13288"/>
    <cellStyle name="注释 11 4 2 2" xfId="13289"/>
    <cellStyle name="常规 6 4 2 10" xfId="13290"/>
    <cellStyle name="千位分隔 2 4 14" xfId="13291"/>
    <cellStyle name="常规 6 4 2 2" xfId="13292"/>
    <cellStyle name="输出 6 5 4 2" xfId="13293"/>
    <cellStyle name="常规 6 4 2 2 2" xfId="13294"/>
    <cellStyle name="检查单元格 2 10" xfId="13295"/>
    <cellStyle name="常规 6 4 2 2 3" xfId="13296"/>
    <cellStyle name="检查单元格 2 11" xfId="13297"/>
    <cellStyle name="常规 6 4 2 2 4" xfId="13298"/>
    <cellStyle name="检查单元格 2 12" xfId="13299"/>
    <cellStyle name="常规 6 4 2 2 5" xfId="13300"/>
    <cellStyle name="常规 6 4 2 2 6" xfId="13301"/>
    <cellStyle name="常规 6 4 2 2 7" xfId="13302"/>
    <cellStyle name="检查单元格 13 2 2" xfId="13303"/>
    <cellStyle name="千位分隔 2 4 3 2" xfId="13304"/>
    <cellStyle name="常规 6 4 2 3" xfId="13305"/>
    <cellStyle name="常规 6 4 2 3 2" xfId="13306"/>
    <cellStyle name="常规 6 4 2 4" xfId="13307"/>
    <cellStyle name="常规 6 4 2 5" xfId="13308"/>
    <cellStyle name="常规 6 4 2 6" xfId="13309"/>
    <cellStyle name="常规 6 4 2 7" xfId="13310"/>
    <cellStyle name="常规 6 4 2 8" xfId="13311"/>
    <cellStyle name="常规 6 4 2 9" xfId="13312"/>
    <cellStyle name="常规 6 4 3" xfId="13313"/>
    <cellStyle name="输出 6 5 5" xfId="13314"/>
    <cellStyle name="常规 6 4 3 2" xfId="13315"/>
    <cellStyle name="输出 6 5 5 2" xfId="13316"/>
    <cellStyle name="常规 6 4 3 2 2" xfId="13317"/>
    <cellStyle name="检查单元格 7 10" xfId="13318"/>
    <cellStyle name="常规 6 4 3 3" xfId="13319"/>
    <cellStyle name="常规 6 4 3 4" xfId="13320"/>
    <cellStyle name="常规 6 4 3 5" xfId="13321"/>
    <cellStyle name="常规 6 4 3 6" xfId="13322"/>
    <cellStyle name="常规 6 4 6 2" xfId="13323"/>
    <cellStyle name="好 3 11" xfId="13324"/>
    <cellStyle name="常规 6 4 7" xfId="13325"/>
    <cellStyle name="常规 6 4 7 2" xfId="13326"/>
    <cellStyle name="常规 6 4 8" xfId="13327"/>
    <cellStyle name="常规 6 4 9" xfId="13328"/>
    <cellStyle name="常规 6 5" xfId="13329"/>
    <cellStyle name="好 12 2 2 3" xfId="13330"/>
    <cellStyle name="注释 11 4 3" xfId="13331"/>
    <cellStyle name="常规 6 5 2" xfId="13332"/>
    <cellStyle name="输出 6 6 4" xfId="13333"/>
    <cellStyle name="常规 6 5 2 2" xfId="13334"/>
    <cellStyle name="常规 6 5 2 3" xfId="13335"/>
    <cellStyle name="常规 6 5 3" xfId="13336"/>
    <cellStyle name="输出 6 6 5" xfId="13337"/>
    <cellStyle name="常规 6 5 6" xfId="13338"/>
    <cellStyle name="常规 6 5 7" xfId="13339"/>
    <cellStyle name="常规 6 5 8" xfId="13340"/>
    <cellStyle name="常规 6 5 9" xfId="13341"/>
    <cellStyle name="常规 6 6" xfId="13342"/>
    <cellStyle name="注释 11 4 4" xfId="13343"/>
    <cellStyle name="常规 6 7" xfId="13344"/>
    <cellStyle name="注释 11 4 5" xfId="13345"/>
    <cellStyle name="常规 67" xfId="13346"/>
    <cellStyle name="常规 7" xfId="13347"/>
    <cellStyle name="常规 7 10" xfId="13348"/>
    <cellStyle name="常规 7 10 2" xfId="13349"/>
    <cellStyle name="好 13 5" xfId="13350"/>
    <cellStyle name="常规 7 11" xfId="13351"/>
    <cellStyle name="常规 7 12" xfId="13352"/>
    <cellStyle name="常规 7 13" xfId="13353"/>
    <cellStyle name="计算 4 5 2" xfId="13354"/>
    <cellStyle name="常规 7 14" xfId="13355"/>
    <cellStyle name="计算 4 5 3" xfId="13356"/>
    <cellStyle name="常规 7 15" xfId="13357"/>
    <cellStyle name="常规 7 20" xfId="13358"/>
    <cellStyle name="计算 4 5 4" xfId="13359"/>
    <cellStyle name="常规 7 16" xfId="13360"/>
    <cellStyle name="常规 7 21" xfId="13361"/>
    <cellStyle name="计算 4 5 5" xfId="13362"/>
    <cellStyle name="适中 6 3 2" xfId="13363"/>
    <cellStyle name="常规 7 18" xfId="13364"/>
    <cellStyle name="常规 7 23" xfId="13365"/>
    <cellStyle name="常规 7 19" xfId="13366"/>
    <cellStyle name="常规 7 24" xfId="13367"/>
    <cellStyle name="常规 7 2" xfId="13368"/>
    <cellStyle name="常规 7 2 10" xfId="13369"/>
    <cellStyle name="常规 7 2 11" xfId="13370"/>
    <cellStyle name="常规 7 2 12" xfId="13371"/>
    <cellStyle name="常规 7 2 13" xfId="13372"/>
    <cellStyle name="常规 7 2 14" xfId="13373"/>
    <cellStyle name="常规 7 2 15" xfId="13374"/>
    <cellStyle name="常规 7 2 16" xfId="13375"/>
    <cellStyle name="常规 7 2 17" xfId="13376"/>
    <cellStyle name="常规 7 2 18" xfId="13377"/>
    <cellStyle name="常规 7 2 19" xfId="13378"/>
    <cellStyle name="常规 7 2 2" xfId="13379"/>
    <cellStyle name="输出 7 3 4" xfId="13380"/>
    <cellStyle name="常规 7 2 2 2 2 2" xfId="13381"/>
    <cellStyle name="常规 7 2 2 3 2 2" xfId="13382"/>
    <cellStyle name="常规 7 2 2 9" xfId="13383"/>
    <cellStyle name="常规 7 2 3" xfId="13384"/>
    <cellStyle name="输出 7 3 5" xfId="13385"/>
    <cellStyle name="常规 7 2 4" xfId="13386"/>
    <cellStyle name="输出 7 3 6" xfId="13387"/>
    <cellStyle name="常规 7 2 5" xfId="13388"/>
    <cellStyle name="常规 7 2 5 2" xfId="13389"/>
    <cellStyle name="常规 7 2 6" xfId="13390"/>
    <cellStyle name="常规 7 2 6 2" xfId="13391"/>
    <cellStyle name="常规 7 2 7" xfId="13392"/>
    <cellStyle name="常规 7 2 7 2" xfId="13393"/>
    <cellStyle name="常规 7 2 9" xfId="13394"/>
    <cellStyle name="常规 7 25" xfId="13395"/>
    <cellStyle name="常规 7 3" xfId="13396"/>
    <cellStyle name="常规 7 3 10" xfId="13397"/>
    <cellStyle name="常规 7 3 11" xfId="13398"/>
    <cellStyle name="常规 7 3 12" xfId="13399"/>
    <cellStyle name="常规 7 3 13" xfId="13400"/>
    <cellStyle name="常规 7 3 14" xfId="13401"/>
    <cellStyle name="常规 7 3 15" xfId="13402"/>
    <cellStyle name="常规 7 3 16" xfId="13403"/>
    <cellStyle name="常规 7 3 17" xfId="13404"/>
    <cellStyle name="输出 7 13 2" xfId="13405"/>
    <cellStyle name="常规 7 3 18" xfId="13406"/>
    <cellStyle name="常规 7 3 2" xfId="13407"/>
    <cellStyle name="输出 7 4 4" xfId="13408"/>
    <cellStyle name="常规 7 3 2 10" xfId="13409"/>
    <cellStyle name="输出 4 15 2" xfId="13410"/>
    <cellStyle name="常规 7 3 2 2" xfId="13411"/>
    <cellStyle name="常规 7 3 2 2 2" xfId="13412"/>
    <cellStyle name="常规 7 3 2 2 2 2" xfId="13413"/>
    <cellStyle name="常规 7 3 2 3" xfId="13414"/>
    <cellStyle name="常规 7 3 2 3 2" xfId="13415"/>
    <cellStyle name="常规 7 3 2 3 2 2" xfId="13416"/>
    <cellStyle name="常规 8 3" xfId="13417"/>
    <cellStyle name="常规 7 3 2 4" xfId="13418"/>
    <cellStyle name="常规 7 3 2 5" xfId="13419"/>
    <cellStyle name="常规 7 3 2 6" xfId="13420"/>
    <cellStyle name="常规 7 3 2 7" xfId="13421"/>
    <cellStyle name="常规 7 3 2 8" xfId="13422"/>
    <cellStyle name="常规 7 3 2 9" xfId="13423"/>
    <cellStyle name="常规 7 3 3" xfId="13424"/>
    <cellStyle name="输出 7 4 5" xfId="13425"/>
    <cellStyle name="常规 7 3 3 2" xfId="13426"/>
    <cellStyle name="输出 7 4 5 2" xfId="13427"/>
    <cellStyle name="常规 7 3 3 2 2" xfId="13428"/>
    <cellStyle name="常规 7 3 3 3" xfId="13429"/>
    <cellStyle name="常规 7 3 3 4" xfId="13430"/>
    <cellStyle name="常规 7 3 3 5" xfId="13431"/>
    <cellStyle name="千位分隔[0] 4 2 2" xfId="13432"/>
    <cellStyle name="常规 7 3 3 6" xfId="13433"/>
    <cellStyle name="常规 7 3 4 4" xfId="13434"/>
    <cellStyle name="常规 7 3 6 2" xfId="13435"/>
    <cellStyle name="常规 7 3 7 2" xfId="13436"/>
    <cellStyle name="常规 7 3 8" xfId="13437"/>
    <cellStyle name="常规 7 3 9" xfId="13438"/>
    <cellStyle name="常规 7 4" xfId="13439"/>
    <cellStyle name="好 12 2 3 2" xfId="13440"/>
    <cellStyle name="注释 11 5 2" xfId="13441"/>
    <cellStyle name="常规 7 4 10" xfId="13442"/>
    <cellStyle name="常规 7 4 11" xfId="13443"/>
    <cellStyle name="常规 7 4 12" xfId="13444"/>
    <cellStyle name="常规 7 4 13" xfId="13445"/>
    <cellStyle name="常规 7 4 14" xfId="13446"/>
    <cellStyle name="常规 7 4 16" xfId="13447"/>
    <cellStyle name="常规 7 4 18" xfId="13448"/>
    <cellStyle name="常规 7 4 2" xfId="13449"/>
    <cellStyle name="输出 7 5 4" xfId="13450"/>
    <cellStyle name="常规 7 4 2 10" xfId="13451"/>
    <cellStyle name="常规_成本报表 2" xfId="13452"/>
    <cellStyle name="强调文字颜色 4 2 4 3" xfId="13453"/>
    <cellStyle name="输出 5 15 2" xfId="13454"/>
    <cellStyle name="常规 7 4 2 2" xfId="13455"/>
    <cellStyle name="输出 7 5 4 2" xfId="13456"/>
    <cellStyle name="常规 7 4 2 3" xfId="13457"/>
    <cellStyle name="常规 7 4 2 3 2" xfId="13458"/>
    <cellStyle name="好 2 7" xfId="13459"/>
    <cellStyle name="常规 7 4 2 4" xfId="13460"/>
    <cellStyle name="常规 7 4 2 5" xfId="13461"/>
    <cellStyle name="常规 7 4 2 6" xfId="13462"/>
    <cellStyle name="千位分隔[0] 7 2" xfId="13463"/>
    <cellStyle name="常规 7 4 2 7" xfId="13464"/>
    <cellStyle name="常规 7 4 2 8" xfId="13465"/>
    <cellStyle name="常规 7 4 2 9" xfId="13466"/>
    <cellStyle name="常规 7 4 3" xfId="13467"/>
    <cellStyle name="输出 7 5 5" xfId="13468"/>
    <cellStyle name="常规 7 4 3 2" xfId="13469"/>
    <cellStyle name="输出 7 5 5 2" xfId="13470"/>
    <cellStyle name="常规 7 4 3 3" xfId="13471"/>
    <cellStyle name="常规 7 4 3 4" xfId="13472"/>
    <cellStyle name="常规 7 4 3 5" xfId="13473"/>
    <cellStyle name="常规 7 4 3 6" xfId="13474"/>
    <cellStyle name="千位分隔[0] 8 2" xfId="13475"/>
    <cellStyle name="常规 7 4 3 7" xfId="13476"/>
    <cellStyle name="常规 7 4 6 2" xfId="13477"/>
    <cellStyle name="常规 7 4 7" xfId="13478"/>
    <cellStyle name="常规 7 4 7 2" xfId="13479"/>
    <cellStyle name="常规 7 4 8" xfId="13480"/>
    <cellStyle name="常规 7 4 9" xfId="13481"/>
    <cellStyle name="常规 7 5" xfId="13482"/>
    <cellStyle name="强调文字颜色 2 8 10" xfId="13483"/>
    <cellStyle name="注释 11 5 3" xfId="13484"/>
    <cellStyle name="常规 7 5 2" xfId="13485"/>
    <cellStyle name="输出 7 6 4" xfId="13486"/>
    <cellStyle name="常规 7 5 2 2" xfId="13487"/>
    <cellStyle name="常规 7 5 2 3" xfId="13488"/>
    <cellStyle name="常规 7 5 3" xfId="13489"/>
    <cellStyle name="输出 7 6 5" xfId="13490"/>
    <cellStyle name="常规 7 6" xfId="13491"/>
    <cellStyle name="强调文字颜色 2 8 11" xfId="13492"/>
    <cellStyle name="注释 11 5 4" xfId="13493"/>
    <cellStyle name="常规 7 6 2 2" xfId="13494"/>
    <cellStyle name="好 4 4" xfId="13495"/>
    <cellStyle name="常规 7 7" xfId="13496"/>
    <cellStyle name="强调文字颜色 2 8 12" xfId="13497"/>
    <cellStyle name="注释 11 5 5" xfId="13498"/>
    <cellStyle name="常规 7 7 2" xfId="13499"/>
    <cellStyle name="常规 7 7 2 2" xfId="13500"/>
    <cellStyle name="常规 7 9 2" xfId="13501"/>
    <cellStyle name="常规 71" xfId="13502"/>
    <cellStyle name="常规 74" xfId="13503"/>
    <cellStyle name="常规 8" xfId="13504"/>
    <cellStyle name="常规 8 10" xfId="13505"/>
    <cellStyle name="常规 8 2" xfId="13506"/>
    <cellStyle name="常规 8 2 2" xfId="13507"/>
    <cellStyle name="输出 8 3 4" xfId="13508"/>
    <cellStyle name="常规 8 2 2 2 2" xfId="13509"/>
    <cellStyle name="常规 8 2 3" xfId="13510"/>
    <cellStyle name="输出 8 3 5" xfId="13511"/>
    <cellStyle name="常规 8 2 3 2" xfId="13512"/>
    <cellStyle name="输出 8 3 5 2" xfId="13513"/>
    <cellStyle name="常规 8 2 4" xfId="13514"/>
    <cellStyle name="输出 8 3 6" xfId="13515"/>
    <cellStyle name="常规 8 2 4 2" xfId="13516"/>
    <cellStyle name="常规 8 2 5" xfId="13517"/>
    <cellStyle name="常规 8 3 2" xfId="13518"/>
    <cellStyle name="输出 8 4 4" xfId="13519"/>
    <cellStyle name="常规 8 3 2 2" xfId="13520"/>
    <cellStyle name="计算 3 4" xfId="13521"/>
    <cellStyle name="常规 8 3 3" xfId="13522"/>
    <cellStyle name="输出 8 4 5" xfId="13523"/>
    <cellStyle name="常规 8 3 3 2" xfId="13524"/>
    <cellStyle name="计算 4 4" xfId="13525"/>
    <cellStyle name="输出 8 4 5 2" xfId="13526"/>
    <cellStyle name="常规 8 4" xfId="13527"/>
    <cellStyle name="注释 11 6 2" xfId="13528"/>
    <cellStyle name="常规 8 4 2" xfId="13529"/>
    <cellStyle name="输出 8 5 4" xfId="13530"/>
    <cellStyle name="常规 8 4 2 2" xfId="13531"/>
    <cellStyle name="输出 8 5 4 2" xfId="13532"/>
    <cellStyle name="常规 8 4 3" xfId="13533"/>
    <cellStyle name="输出 8 5 5" xfId="13534"/>
    <cellStyle name="常规 8 5" xfId="13535"/>
    <cellStyle name="注释 11 6 3" xfId="13536"/>
    <cellStyle name="常规 8 6" xfId="13537"/>
    <cellStyle name="注释 11 6 4" xfId="13538"/>
    <cellStyle name="常规 8 7" xfId="13539"/>
    <cellStyle name="注释 11 6 5" xfId="13540"/>
    <cellStyle name="常规 8 9" xfId="13541"/>
    <cellStyle name="常规 9" xfId="13542"/>
    <cellStyle name="常规 9 10" xfId="13543"/>
    <cellStyle name="常规 9 13" xfId="13544"/>
    <cellStyle name="常规 9 14" xfId="13545"/>
    <cellStyle name="千位分隔 5 2 3 2" xfId="13546"/>
    <cellStyle name="常规 9 2" xfId="13547"/>
    <cellStyle name="常规 9 2 2" xfId="13548"/>
    <cellStyle name="输出 9 3 4" xfId="13549"/>
    <cellStyle name="常规 9 2 2 2 2" xfId="13550"/>
    <cellStyle name="常规 9 3 2" xfId="13551"/>
    <cellStyle name="输出 9 4 4" xfId="13552"/>
    <cellStyle name="常规 9 4" xfId="13553"/>
    <cellStyle name="注释 11 7 2" xfId="13554"/>
    <cellStyle name="常规 9 4 2" xfId="13555"/>
    <cellStyle name="输出 9 5 4" xfId="13556"/>
    <cellStyle name="常规 9 5" xfId="13557"/>
    <cellStyle name="常规 9 7" xfId="13558"/>
    <cellStyle name="常规 9 9" xfId="13559"/>
    <cellStyle name="常规_09年费用科目整理" xfId="13560"/>
    <cellStyle name="常规_部门费用预算表格" xfId="13561"/>
    <cellStyle name="强调文字颜色 3 8 12" xfId="13562"/>
    <cellStyle name="常规_税金表" xfId="13563"/>
    <cellStyle name="超链接 2" xfId="13564"/>
    <cellStyle name="超链接 2 2" xfId="13565"/>
    <cellStyle name="分级显示行_1_4附件二凯旋评估表" xfId="13566"/>
    <cellStyle name="分级显示列_1_PERSON2" xfId="13567"/>
    <cellStyle name="好 10" xfId="13568"/>
    <cellStyle name="好 10 10" xfId="13569"/>
    <cellStyle name="强调文字颜色 3 10 2 2 2" xfId="13570"/>
    <cellStyle name="强调文字颜色 3 3" xfId="13571"/>
    <cellStyle name="好 10 11" xfId="13572"/>
    <cellStyle name="强调文字颜色 3 4" xfId="13573"/>
    <cellStyle name="好 10 12" xfId="13574"/>
    <cellStyle name="强调文字颜色 3 5" xfId="13575"/>
    <cellStyle name="好 10 2 2 2" xfId="13576"/>
    <cellStyle name="好 10 2 2 3" xfId="13577"/>
    <cellStyle name="好 10 2 3" xfId="13578"/>
    <cellStyle name="好 10 2 3 2" xfId="13579"/>
    <cellStyle name="输入 4 10" xfId="13580"/>
    <cellStyle name="好 10 2 4" xfId="13581"/>
    <cellStyle name="好 10 2 5" xfId="13582"/>
    <cellStyle name="好 10 3 2" xfId="13583"/>
    <cellStyle name="好 10 3 2 2" xfId="13584"/>
    <cellStyle name="好 10 4 2" xfId="13585"/>
    <cellStyle name="强调文字颜色 3 17" xfId="13586"/>
    <cellStyle name="好 10 5" xfId="13587"/>
    <cellStyle name="好 10 5 2" xfId="13588"/>
    <cellStyle name="好 10 8" xfId="13589"/>
    <cellStyle name="好 10 9" xfId="13590"/>
    <cellStyle name="好 11 11" xfId="13591"/>
    <cellStyle name="强调文字颜色 1 6 3 2" xfId="13592"/>
    <cellStyle name="好 11 12" xfId="13593"/>
    <cellStyle name="强调文字颜色 1 6 3 3" xfId="13594"/>
    <cellStyle name="好 11 2 2 2" xfId="13595"/>
    <cellStyle name="好 11 2 2 2 2" xfId="13596"/>
    <cellStyle name="好 11 2 2 3" xfId="13597"/>
    <cellStyle name="强调文字颜色 3 4 2" xfId="13598"/>
    <cellStyle name="好 11 2 3" xfId="13599"/>
    <cellStyle name="好 11 2 3 2" xfId="13600"/>
    <cellStyle name="好 11 2 4" xfId="13601"/>
    <cellStyle name="好 11 2 5" xfId="13602"/>
    <cellStyle name="好 11 3 2" xfId="13603"/>
    <cellStyle name="好 11 3 2 2" xfId="13604"/>
    <cellStyle name="好 11 3 3" xfId="13605"/>
    <cellStyle name="好 11 5" xfId="13606"/>
    <cellStyle name="好 11 5 2" xfId="13607"/>
    <cellStyle name="好 11 7" xfId="13608"/>
    <cellStyle name="好 11 8" xfId="13609"/>
    <cellStyle name="好 11 9" xfId="13610"/>
    <cellStyle name="好 12" xfId="13611"/>
    <cellStyle name="好 12 10" xfId="13612"/>
    <cellStyle name="输出 5 2 3 2" xfId="13613"/>
    <cellStyle name="好 12 11" xfId="13614"/>
    <cellStyle name="输出 5 2 3 3" xfId="13615"/>
    <cellStyle name="好 12 12" xfId="13616"/>
    <cellStyle name="好 12 2 3" xfId="13617"/>
    <cellStyle name="注释 11 5" xfId="13618"/>
    <cellStyle name="好 12 2 4" xfId="13619"/>
    <cellStyle name="注释 11 6" xfId="13620"/>
    <cellStyle name="好 12 2 5" xfId="13621"/>
    <cellStyle name="注释 11 7" xfId="13622"/>
    <cellStyle name="好 12 3 2" xfId="13623"/>
    <cellStyle name="输出 2 11" xfId="13624"/>
    <cellStyle name="注释 12 4" xfId="13625"/>
    <cellStyle name="好 12 3 2 2" xfId="13626"/>
    <cellStyle name="输出 2 11 2" xfId="13627"/>
    <cellStyle name="注释 12 4 2" xfId="13628"/>
    <cellStyle name="好 12 3 3" xfId="13629"/>
    <cellStyle name="输出 2 12" xfId="13630"/>
    <cellStyle name="注释 12 5" xfId="13631"/>
    <cellStyle name="好 12 4 2" xfId="13632"/>
    <cellStyle name="注释 13 4" xfId="13633"/>
    <cellStyle name="好 12 5" xfId="13634"/>
    <cellStyle name="输出 4 3 2 3" xfId="13635"/>
    <cellStyle name="好 12 5 2" xfId="13636"/>
    <cellStyle name="注释 14 4" xfId="13637"/>
    <cellStyle name="好 12 6" xfId="13638"/>
    <cellStyle name="好 12 7" xfId="13639"/>
    <cellStyle name="好 13" xfId="13640"/>
    <cellStyle name="好 13 10" xfId="13641"/>
    <cellStyle name="输入 12 4 3" xfId="13642"/>
    <cellStyle name="好 13 11" xfId="13643"/>
    <cellStyle name="输入 12 4 4" xfId="13644"/>
    <cellStyle name="好 13 12" xfId="13645"/>
    <cellStyle name="输入 12 4 5" xfId="13646"/>
    <cellStyle name="好 13 13" xfId="13647"/>
    <cellStyle name="好 13 2 2 2" xfId="13648"/>
    <cellStyle name="好 13 2 2 2 2" xfId="13649"/>
    <cellStyle name="好 13 2 3" xfId="13650"/>
    <cellStyle name="好 13 2 3 2" xfId="13651"/>
    <cellStyle name="好 13 2 4" xfId="13652"/>
    <cellStyle name="好 13 2 5" xfId="13653"/>
    <cellStyle name="好 13 3 2" xfId="13654"/>
    <cellStyle name="输出 7 11" xfId="13655"/>
    <cellStyle name="好 13 3 2 2" xfId="13656"/>
    <cellStyle name="输出 7 11 2" xfId="13657"/>
    <cellStyle name="好 13 3 3" xfId="13658"/>
    <cellStyle name="输出 7 12" xfId="13659"/>
    <cellStyle name="好 13 4 2" xfId="13660"/>
    <cellStyle name="好 13 5 2" xfId="13661"/>
    <cellStyle name="好 13 6" xfId="13662"/>
    <cellStyle name="好 13 6 2" xfId="13663"/>
    <cellStyle name="好 14" xfId="13664"/>
    <cellStyle name="好 14 2" xfId="13665"/>
    <cellStyle name="好 14 2 2" xfId="13666"/>
    <cellStyle name="好 14 2 2 2" xfId="13667"/>
    <cellStyle name="好 14 2 3" xfId="13668"/>
    <cellStyle name="好 14 3" xfId="13669"/>
    <cellStyle name="好 14 3 2" xfId="13670"/>
    <cellStyle name="好 15" xfId="13671"/>
    <cellStyle name="好 15 2" xfId="13672"/>
    <cellStyle name="好 15 2 2" xfId="13673"/>
    <cellStyle name="好 15 3" xfId="13674"/>
    <cellStyle name="好 16 2" xfId="13675"/>
    <cellStyle name="好 17" xfId="13676"/>
    <cellStyle name="好 2" xfId="13677"/>
    <cellStyle name="好 2 10" xfId="13678"/>
    <cellStyle name="好 2 11" xfId="13679"/>
    <cellStyle name="输出 6 5 3 2" xfId="13680"/>
    <cellStyle name="好 2 12" xfId="13681"/>
    <cellStyle name="好 2 2" xfId="13682"/>
    <cellStyle name="好 2 2 2" xfId="13683"/>
    <cellStyle name="好 2 2 2 2" xfId="13684"/>
    <cellStyle name="好 2 2 2 2 2" xfId="13685"/>
    <cellStyle name="好 2 2 2 3" xfId="13686"/>
    <cellStyle name="好 2 2 3" xfId="13687"/>
    <cellStyle name="好 2 2 3 2" xfId="13688"/>
    <cellStyle name="好 2 2 4" xfId="13689"/>
    <cellStyle name="好 2 2 5" xfId="13690"/>
    <cellStyle name="好 2 3" xfId="13691"/>
    <cellStyle name="好 2 3 2 2" xfId="13692"/>
    <cellStyle name="好 2 3 2 2 2" xfId="13693"/>
    <cellStyle name="好 2 3 2 3" xfId="13694"/>
    <cellStyle name="好 2 3 3 2" xfId="13695"/>
    <cellStyle name="好 2 4 2" xfId="13696"/>
    <cellStyle name="千位分隔 2 3 11" xfId="13697"/>
    <cellStyle name="好 2 4 2 2 2" xfId="13698"/>
    <cellStyle name="好 2 4 3" xfId="13699"/>
    <cellStyle name="千位分隔 2 3 12" xfId="13700"/>
    <cellStyle name="好 2 4 3 2" xfId="13701"/>
    <cellStyle name="好 2 4 4" xfId="13702"/>
    <cellStyle name="千位分隔 2 3 13" xfId="13703"/>
    <cellStyle name="好 2 5" xfId="13704"/>
    <cellStyle name="好 2 5 2" xfId="13705"/>
    <cellStyle name="好 2 5 2 2" xfId="13706"/>
    <cellStyle name="警告文本 2 2 5" xfId="13707"/>
    <cellStyle name="好 2 5 3" xfId="13708"/>
    <cellStyle name="好 2 6 2" xfId="13709"/>
    <cellStyle name="好 2 7 2" xfId="13710"/>
    <cellStyle name="好 3" xfId="13711"/>
    <cellStyle name="好 3 10" xfId="13712"/>
    <cellStyle name="好 3 12" xfId="13713"/>
    <cellStyle name="好 3 2" xfId="13714"/>
    <cellStyle name="好 3 2 2" xfId="13715"/>
    <cellStyle name="好 3 2 2 2" xfId="13716"/>
    <cellStyle name="好 3 2 2 2 2" xfId="13717"/>
    <cellStyle name="好 3 2 2 3" xfId="13718"/>
    <cellStyle name="好 3 3" xfId="13719"/>
    <cellStyle name="好 3 3 2" xfId="13720"/>
    <cellStyle name="好 3 3 2 2" xfId="13721"/>
    <cellStyle name="输出 2 13" xfId="13722"/>
    <cellStyle name="注释 12 6" xfId="13723"/>
    <cellStyle name="好 3 4" xfId="13724"/>
    <cellStyle name="好 3 4 2" xfId="13725"/>
    <cellStyle name="好 3 5" xfId="13726"/>
    <cellStyle name="好 3 5 2" xfId="13727"/>
    <cellStyle name="好 3 6" xfId="13728"/>
    <cellStyle name="好 3 7" xfId="13729"/>
    <cellStyle name="好 3 9" xfId="13730"/>
    <cellStyle name="好 4 2" xfId="13731"/>
    <cellStyle name="好 4 2 2" xfId="13732"/>
    <cellStyle name="好 4 2 2 2" xfId="13733"/>
    <cellStyle name="注释 11 12" xfId="13734"/>
    <cellStyle name="好 4 2 2 2 2" xfId="13735"/>
    <cellStyle name="好 4 2 2 3" xfId="13736"/>
    <cellStyle name="注释 11 13" xfId="13737"/>
    <cellStyle name="好 4 2 3" xfId="13738"/>
    <cellStyle name="好 4 2 4" xfId="13739"/>
    <cellStyle name="好 4 2 5" xfId="13740"/>
    <cellStyle name="好 4 3" xfId="13741"/>
    <cellStyle name="好 4 3 2" xfId="13742"/>
    <cellStyle name="好 4 3 3" xfId="13743"/>
    <cellStyle name="好 4 5" xfId="13744"/>
    <cellStyle name="好 4 5 2" xfId="13745"/>
    <cellStyle name="好 4 6" xfId="13746"/>
    <cellStyle name="好 4 7" xfId="13747"/>
    <cellStyle name="好 4 9" xfId="13748"/>
    <cellStyle name="好 5" xfId="13749"/>
    <cellStyle name="好 5 10" xfId="13750"/>
    <cellStyle name="好 5 11" xfId="13751"/>
    <cellStyle name="好 5 12" xfId="13752"/>
    <cellStyle name="好 5 2" xfId="13753"/>
    <cellStyle name="好 5 2 2" xfId="13754"/>
    <cellStyle name="好 5 2 2 2" xfId="13755"/>
    <cellStyle name="强调文字颜色 4 6 10" xfId="13756"/>
    <cellStyle name="输出 11 2 3" xfId="13757"/>
    <cellStyle name="好 5 2 2 2 2" xfId="13758"/>
    <cellStyle name="计算 6" xfId="13759"/>
    <cellStyle name="适中 2 10" xfId="13760"/>
    <cellStyle name="输出 11 2 3 2" xfId="13761"/>
    <cellStyle name="好 5 2 2 3" xfId="13762"/>
    <cellStyle name="强调文字颜色 4 6 11" xfId="13763"/>
    <cellStyle name="输出 11 2 4" xfId="13764"/>
    <cellStyle name="好 5 2 3" xfId="13765"/>
    <cellStyle name="好 5 2 3 2" xfId="13766"/>
    <cellStyle name="输出 11 3 3" xfId="13767"/>
    <cellStyle name="好 5 2 4" xfId="13768"/>
    <cellStyle name="好 5 3" xfId="13769"/>
    <cellStyle name="好 5 3 2" xfId="13770"/>
    <cellStyle name="好 5 3 2 2" xfId="13771"/>
    <cellStyle name="输出 12 2 3" xfId="13772"/>
    <cellStyle name="好 5 3 3" xfId="13773"/>
    <cellStyle name="好 5 4" xfId="13774"/>
    <cellStyle name="好 5 5" xfId="13775"/>
    <cellStyle name="好 5 5 2" xfId="13776"/>
    <cellStyle name="好 5 6" xfId="13777"/>
    <cellStyle name="好 5 7" xfId="13778"/>
    <cellStyle name="好 5 8" xfId="13779"/>
    <cellStyle name="好 5 9" xfId="13780"/>
    <cellStyle name="好 6" xfId="13781"/>
    <cellStyle name="好 6 10" xfId="13782"/>
    <cellStyle name="好 6 11" xfId="13783"/>
    <cellStyle name="好 6 12" xfId="13784"/>
    <cellStyle name="好 6 2" xfId="13785"/>
    <cellStyle name="好 6 2 2" xfId="13786"/>
    <cellStyle name="好 6 2 2 2" xfId="13787"/>
    <cellStyle name="好 6 2 3" xfId="13788"/>
    <cellStyle name="好 6 2 3 2" xfId="13789"/>
    <cellStyle name="好 6 2 4" xfId="13790"/>
    <cellStyle name="好 6 3" xfId="13791"/>
    <cellStyle name="好 6 3 2" xfId="13792"/>
    <cellStyle name="好 6 3 2 2" xfId="13793"/>
    <cellStyle name="好 6 3 3" xfId="13794"/>
    <cellStyle name="好 6 4" xfId="13795"/>
    <cellStyle name="好 6 4 2" xfId="13796"/>
    <cellStyle name="好 6 5" xfId="13797"/>
    <cellStyle name="好 6 5 2" xfId="13798"/>
    <cellStyle name="输入 6" xfId="13799"/>
    <cellStyle name="好 6 6" xfId="13800"/>
    <cellStyle name="好 6 7" xfId="13801"/>
    <cellStyle name="好 6 8" xfId="13802"/>
    <cellStyle name="好 6 9" xfId="13803"/>
    <cellStyle name="好 7" xfId="13804"/>
    <cellStyle name="好 7 10" xfId="13805"/>
    <cellStyle name="好 7 11" xfId="13806"/>
    <cellStyle name="输出 6 6 3 2" xfId="13807"/>
    <cellStyle name="好 7 12" xfId="13808"/>
    <cellStyle name="好 7 2" xfId="13809"/>
    <cellStyle name="好 7 2 2" xfId="13810"/>
    <cellStyle name="好 7 2 2 2" xfId="13811"/>
    <cellStyle name="好 7 2 2 2 2" xfId="13812"/>
    <cellStyle name="好 7 2 2 3" xfId="13813"/>
    <cellStyle name="好 7 2 3" xfId="13814"/>
    <cellStyle name="好 7 2 3 2" xfId="13815"/>
    <cellStyle name="链接单元格 6 2 4" xfId="13816"/>
    <cellStyle name="好 7 2 4" xfId="13817"/>
    <cellStyle name="好 7 2 5" xfId="13818"/>
    <cellStyle name="好_账龄02 2 3 2" xfId="13819"/>
    <cellStyle name="好 7 3" xfId="13820"/>
    <cellStyle name="好 7 3 2 2" xfId="13821"/>
    <cellStyle name="好 7 4" xfId="13822"/>
    <cellStyle name="好 7 4 2" xfId="13823"/>
    <cellStyle name="好 7 5" xfId="13824"/>
    <cellStyle name="好 7 5 2" xfId="13825"/>
    <cellStyle name="好 8" xfId="13826"/>
    <cellStyle name="好 8 11" xfId="13827"/>
    <cellStyle name="好 8 12" xfId="13828"/>
    <cellStyle name="好 8 2" xfId="13829"/>
    <cellStyle name="好 8 2 2" xfId="13830"/>
    <cellStyle name="好 8 2 2 2" xfId="13831"/>
    <cellStyle name="好 8 2 2 2 2" xfId="13832"/>
    <cellStyle name="千位分隔 5 3 7" xfId="13833"/>
    <cellStyle name="好 8 2 2 3" xfId="13834"/>
    <cellStyle name="好 8 3" xfId="13835"/>
    <cellStyle name="好 8 3 2" xfId="13836"/>
    <cellStyle name="好 8 3 2 2" xfId="13837"/>
    <cellStyle name="好 8 4 2" xfId="13838"/>
    <cellStyle name="好 8 5 2" xfId="13839"/>
    <cellStyle name="好 9" xfId="13840"/>
    <cellStyle name="好 9 10" xfId="13841"/>
    <cellStyle name="好 9 2 2" xfId="13842"/>
    <cellStyle name="好 9 2 2 2" xfId="13843"/>
    <cellStyle name="检查单元格 12 8" xfId="13844"/>
    <cellStyle name="千位分隔 2 3 9" xfId="13845"/>
    <cellStyle name="好 9 2 3 2" xfId="13846"/>
    <cellStyle name="检查单元格 13 8" xfId="13847"/>
    <cellStyle name="千位分隔 2 4 9" xfId="13848"/>
    <cellStyle name="好 9 2 4" xfId="13849"/>
    <cellStyle name="好 9 2 5" xfId="13850"/>
    <cellStyle name="好 9 3" xfId="13851"/>
    <cellStyle name="好 9 3 2 2" xfId="13852"/>
    <cellStyle name="好 9 4 2" xfId="13853"/>
    <cellStyle name="好 9 5" xfId="13854"/>
    <cellStyle name="好 9 5 2" xfId="13855"/>
    <cellStyle name="好_06年出版社" xfId="13856"/>
    <cellStyle name="好_06年拍卖" xfId="13857"/>
    <cellStyle name="好_07年瑞祥泰" xfId="13858"/>
    <cellStyle name="输入 3 6 5" xfId="13859"/>
    <cellStyle name="好_09年企管部预算（砍掉后） " xfId="13860"/>
    <cellStyle name="好_12账龄分析" xfId="13861"/>
    <cellStyle name="好_12账龄分析 2" xfId="13862"/>
    <cellStyle name="好_12账龄分析 2 2" xfId="13863"/>
    <cellStyle name="好_12账龄分析 2 3" xfId="13864"/>
    <cellStyle name="好_12账龄分析 2 4" xfId="13865"/>
    <cellStyle name="好_12账龄分析 3" xfId="13866"/>
    <cellStyle name="好_12账龄分析 3 2" xfId="13867"/>
    <cellStyle name="好_12账龄分析 3 2 2" xfId="13868"/>
    <cellStyle name="好_12账龄分析 3 3" xfId="13869"/>
    <cellStyle name="好_12账龄分析 4" xfId="13870"/>
    <cellStyle name="好_12账龄分析 4 2" xfId="13871"/>
    <cellStyle name="好_12账龄分析 5" xfId="13872"/>
    <cellStyle name="好_CF-九江天赐" xfId="13873"/>
    <cellStyle name="好_报表2011年九江天赐" xfId="13874"/>
    <cellStyle name="好_报表2011年天赐高新" xfId="13875"/>
    <cellStyle name="好_报表2011年有机硅" xfId="13876"/>
    <cellStyle name="好_附注插件2010" xfId="13877"/>
    <cellStyle name="好_栏目销售率(2)" xfId="13878"/>
    <cellStyle name="好_调整分录2011年天赐高新" xfId="13879"/>
    <cellStyle name="千位分隔 5 2 2 8" xfId="13880"/>
    <cellStyle name="好_有机硅现金流" xfId="13881"/>
    <cellStyle name="好_账龄02 2 2 2 2" xfId="13882"/>
    <cellStyle name="好_账龄02 2 2 3" xfId="13883"/>
    <cellStyle name="好_账龄02 2 4" xfId="13884"/>
    <cellStyle name="好_账龄02 3 3" xfId="13885"/>
    <cellStyle name="好_账龄02 4 2" xfId="13886"/>
    <cellStyle name="好_账龄02 5" xfId="13887"/>
    <cellStyle name="好_账龄02. 2 2" xfId="13888"/>
    <cellStyle name="好_账龄02. 2 2 2" xfId="13889"/>
    <cellStyle name="好_账龄02. 2 2 2 2" xfId="13890"/>
    <cellStyle name="好_账龄02. 2 3 2" xfId="13891"/>
    <cellStyle name="好_账龄02. 2 4" xfId="13892"/>
    <cellStyle name="好_账龄02. 3" xfId="13893"/>
    <cellStyle name="好_账龄02. 3 2" xfId="13894"/>
    <cellStyle name="好_账龄02. 3 2 2" xfId="13895"/>
    <cellStyle name="好_账龄02. 3 3" xfId="13896"/>
    <cellStyle name="好_账龄02. 4" xfId="13897"/>
    <cellStyle name="好_账龄02. 4 2" xfId="13898"/>
    <cellStyle name="好_账龄07 2" xfId="13899"/>
    <cellStyle name="好_账龄12 2" xfId="13900"/>
    <cellStyle name="好_账龄07 2 2 2" xfId="13901"/>
    <cellStyle name="好_账龄12 2 2 2" xfId="13902"/>
    <cellStyle name="好_账龄07 2 2 3" xfId="13903"/>
    <cellStyle name="好_账龄07 2 3" xfId="13904"/>
    <cellStyle name="好_账龄12 2 3" xfId="13905"/>
    <cellStyle name="好_账龄07 2 3 2" xfId="13906"/>
    <cellStyle name="好_账龄07 2 4" xfId="13907"/>
    <cellStyle name="好_账龄07 3" xfId="13908"/>
    <cellStyle name="好_账龄12 3" xfId="13909"/>
    <cellStyle name="好_账龄07 3 2 2" xfId="13910"/>
    <cellStyle name="好_账龄07 3 3" xfId="13911"/>
    <cellStyle name="好_账龄07 4" xfId="13912"/>
    <cellStyle name="好_账龄12 4" xfId="13913"/>
    <cellStyle name="好_账龄07 5" xfId="13914"/>
    <cellStyle name="好_账龄12 5" xfId="13915"/>
    <cellStyle name="好_账龄08 2" xfId="13916"/>
    <cellStyle name="计算 9 16" xfId="13917"/>
    <cellStyle name="好_账龄08 2 2 2" xfId="13918"/>
    <cellStyle name="好_账龄08 2 2 2 2" xfId="13919"/>
    <cellStyle name="好_账龄08 2 2 3" xfId="13920"/>
    <cellStyle name="好_账龄08 2 3 2" xfId="13921"/>
    <cellStyle name="好_账龄08 3" xfId="13922"/>
    <cellStyle name="好_账龄08 3 2 2" xfId="13923"/>
    <cellStyle name="好_账龄08 4" xfId="13924"/>
    <cellStyle name="好_账龄08 4 2" xfId="13925"/>
    <cellStyle name="好_账龄08 5" xfId="13926"/>
    <cellStyle name="好_账龄09" xfId="13927"/>
    <cellStyle name="好_账龄09 2" xfId="13928"/>
    <cellStyle name="好_账龄09 2 2" xfId="13929"/>
    <cellStyle name="好_账龄09 2 2 2" xfId="13930"/>
    <cellStyle name="好_账龄09 2 2 2 2" xfId="13931"/>
    <cellStyle name="汇总 8 10" xfId="13932"/>
    <cellStyle name="好_账龄09 2 2 3" xfId="13933"/>
    <cellStyle name="好_账龄09 2 3" xfId="13934"/>
    <cellStyle name="强调文字颜色 6 13 10" xfId="13935"/>
    <cellStyle name="好_账龄09 2 3 2" xfId="13936"/>
    <cellStyle name="好_账龄09 2 4" xfId="13937"/>
    <cellStyle name="强调文字颜色 6 13 11" xfId="13938"/>
    <cellStyle name="好_账龄09 3" xfId="13939"/>
    <cellStyle name="好_账龄09 3 2 2" xfId="13940"/>
    <cellStyle name="好_账龄09 3 3" xfId="13941"/>
    <cellStyle name="好_账龄09 4" xfId="13942"/>
    <cellStyle name="好_账龄09 4 2" xfId="13943"/>
    <cellStyle name="好_账龄09 5" xfId="13944"/>
    <cellStyle name="好_账龄10 2 2" xfId="13945"/>
    <cellStyle name="好_账龄10 2 3" xfId="13946"/>
    <cellStyle name="好_账龄10 2 4" xfId="13947"/>
    <cellStyle name="好_账龄10 3" xfId="13948"/>
    <cellStyle name="好_账龄10 3 2" xfId="13949"/>
    <cellStyle name="好_账龄10 4" xfId="13950"/>
    <cellStyle name="好_账龄10 5" xfId="13951"/>
    <cellStyle name="好_账龄11 2" xfId="13952"/>
    <cellStyle name="好_账龄11 2 2" xfId="13953"/>
    <cellStyle name="好_账龄11 2 2 2" xfId="13954"/>
    <cellStyle name="好_账龄11 2 3" xfId="13955"/>
    <cellStyle name="好_账龄11 3" xfId="13956"/>
    <cellStyle name="好_账龄11 3 2" xfId="13957"/>
    <cellStyle name="好_账龄11 4" xfId="13958"/>
    <cellStyle name="好_账龄11 5" xfId="13959"/>
    <cellStyle name="好_账龄分析2" xfId="13960"/>
    <cellStyle name="好_账龄分析2 2" xfId="13961"/>
    <cellStyle name="好_账龄分析2 2 2" xfId="13962"/>
    <cellStyle name="好_账龄分析2 2 2 2" xfId="13963"/>
    <cellStyle name="好_账龄分析2 2 3" xfId="13964"/>
    <cellStyle name="好_账龄分析2 3" xfId="13965"/>
    <cellStyle name="好_账龄分析2 3 2" xfId="13966"/>
    <cellStyle name="强调文字颜色 1 9" xfId="13967"/>
    <cellStyle name="好_账龄分析2 4" xfId="13968"/>
    <cellStyle name="好_账龄分析2 5" xfId="13969"/>
    <cellStyle name="桁区切り [0.00]_１１月価格表" xfId="13970"/>
    <cellStyle name="桁区切り_１１月価格表" xfId="13971"/>
    <cellStyle name="汇总 10" xfId="13972"/>
    <cellStyle name="汇总 10 10" xfId="13973"/>
    <cellStyle name="汇总 10 11" xfId="13974"/>
    <cellStyle name="汇总 10 12" xfId="13975"/>
    <cellStyle name="汇总 10 13" xfId="13976"/>
    <cellStyle name="汇总 10 2" xfId="13977"/>
    <cellStyle name="汇总 10 2 2" xfId="13978"/>
    <cellStyle name="强调文字颜色 4 7 7" xfId="13979"/>
    <cellStyle name="汇总 10 2 3" xfId="13980"/>
    <cellStyle name="强调文字颜色 4 7 8" xfId="13981"/>
    <cellStyle name="汇总 10 2 4" xfId="13982"/>
    <cellStyle name="强调文字颜色 4 7 9" xfId="13983"/>
    <cellStyle name="汇总 10 3" xfId="13984"/>
    <cellStyle name="汇总 10 3 2" xfId="13985"/>
    <cellStyle name="强调文字颜色 4 8 7" xfId="13986"/>
    <cellStyle name="汇总 10 4" xfId="13987"/>
    <cellStyle name="汇总 10 4 2" xfId="13988"/>
    <cellStyle name="强调文字颜色 4 9 7" xfId="13989"/>
    <cellStyle name="汇总 10 6 2" xfId="13990"/>
    <cellStyle name="汇总 10 8" xfId="13991"/>
    <cellStyle name="汇总 10 9" xfId="13992"/>
    <cellStyle name="汇总 11" xfId="13993"/>
    <cellStyle name="输出 8 10 2" xfId="13994"/>
    <cellStyle name="汇总 11 10" xfId="13995"/>
    <cellStyle name="汇总 11 11" xfId="13996"/>
    <cellStyle name="汇总 11 12" xfId="13997"/>
    <cellStyle name="汇总 11 13" xfId="13998"/>
    <cellStyle name="汇总 11 2 2" xfId="13999"/>
    <cellStyle name="强调文字颜色 5 7 7" xfId="14000"/>
    <cellStyle name="汇总 11 2 2 2" xfId="14001"/>
    <cellStyle name="强调文字颜色 5 7 7 2" xfId="14002"/>
    <cellStyle name="输出 9 3 2 3" xfId="14003"/>
    <cellStyle name="汇总 11 2 3" xfId="14004"/>
    <cellStyle name="强调文字颜色 5 7 8" xfId="14005"/>
    <cellStyle name="汇总 11 2 4" xfId="14006"/>
    <cellStyle name="强调文字颜色 5 7 9" xfId="14007"/>
    <cellStyle name="汇总 11 3" xfId="14008"/>
    <cellStyle name="汇总 11 3 2" xfId="14009"/>
    <cellStyle name="强调文字颜色 5 8 7" xfId="14010"/>
    <cellStyle name="汇总 11 4" xfId="14011"/>
    <cellStyle name="汇总 11 4 2" xfId="14012"/>
    <cellStyle name="强调文字颜色 5 9 7" xfId="14013"/>
    <cellStyle name="汇总 11 5 2" xfId="14014"/>
    <cellStyle name="汇总 11 6" xfId="14015"/>
    <cellStyle name="汇总 11 6 2" xfId="14016"/>
    <cellStyle name="汇总 11 7" xfId="14017"/>
    <cellStyle name="汇总 11 8" xfId="14018"/>
    <cellStyle name="汇总 11 9" xfId="14019"/>
    <cellStyle name="汇总 12" xfId="14020"/>
    <cellStyle name="汇总 12 2" xfId="14021"/>
    <cellStyle name="汇总 12 2 2" xfId="14022"/>
    <cellStyle name="强调文字颜色 6 7 7" xfId="14023"/>
    <cellStyle name="汇总 12 2 2 2" xfId="14024"/>
    <cellStyle name="强调文字颜色 6 7 7 2" xfId="14025"/>
    <cellStyle name="汇总 12 2 3" xfId="14026"/>
    <cellStyle name="强调文字颜色 6 7 8" xfId="14027"/>
    <cellStyle name="汇总 12 2 4" xfId="14028"/>
    <cellStyle name="强调文字颜色 6 7 9" xfId="14029"/>
    <cellStyle name="汇总 12 3" xfId="14030"/>
    <cellStyle name="汇总 12 3 2" xfId="14031"/>
    <cellStyle name="强调文字颜色 6 8 7" xfId="14032"/>
    <cellStyle name="汇总 12 4" xfId="14033"/>
    <cellStyle name="汇总 12 4 2" xfId="14034"/>
    <cellStyle name="强调文字颜色 6 9 7" xfId="14035"/>
    <cellStyle name="汇总 12 5" xfId="14036"/>
    <cellStyle name="汇总 12 5 2" xfId="14037"/>
    <cellStyle name="汇总 12 6" xfId="14038"/>
    <cellStyle name="汇总 12 6 2" xfId="14039"/>
    <cellStyle name="汇总 12 7" xfId="14040"/>
    <cellStyle name="汇总 12 8" xfId="14041"/>
    <cellStyle name="汇总 12 9" xfId="14042"/>
    <cellStyle name="汇总 13" xfId="14043"/>
    <cellStyle name="注释 4 4 2 2" xfId="14044"/>
    <cellStyle name="汇总 13 10" xfId="14045"/>
    <cellStyle name="汇总 13 11" xfId="14046"/>
    <cellStyle name="汇总 13 12" xfId="14047"/>
    <cellStyle name="汇总 13 13" xfId="14048"/>
    <cellStyle name="汇总 13 2" xfId="14049"/>
    <cellStyle name="汇总 13 2 2" xfId="14050"/>
    <cellStyle name="汇总 13 2 2 2" xfId="14051"/>
    <cellStyle name="汇总 13 2 3" xfId="14052"/>
    <cellStyle name="汇总 13 2 4" xfId="14053"/>
    <cellStyle name="汇总 13 3" xfId="14054"/>
    <cellStyle name="汇总 13 3 2" xfId="14055"/>
    <cellStyle name="汇总 13 4" xfId="14056"/>
    <cellStyle name="汇总 13 4 2" xfId="14057"/>
    <cellStyle name="汇总 13 5" xfId="14058"/>
    <cellStyle name="汇总 13 5 2" xfId="14059"/>
    <cellStyle name="汇总 13 6" xfId="14060"/>
    <cellStyle name="汇总 13 6 2" xfId="14061"/>
    <cellStyle name="汇总 13 7" xfId="14062"/>
    <cellStyle name="汇总 13 8" xfId="14063"/>
    <cellStyle name="汇总 14" xfId="14064"/>
    <cellStyle name="汇总 14 2" xfId="14065"/>
    <cellStyle name="汇总 14 2 2" xfId="14066"/>
    <cellStyle name="汇总 15" xfId="14067"/>
    <cellStyle name="汇总 15 2" xfId="14068"/>
    <cellStyle name="汇总 16" xfId="14069"/>
    <cellStyle name="汇总 17" xfId="14070"/>
    <cellStyle name="汇总 2" xfId="14071"/>
    <cellStyle name="汇总 2 10" xfId="14072"/>
    <cellStyle name="汇总 2 11" xfId="14073"/>
    <cellStyle name="汇总 2 12" xfId="14074"/>
    <cellStyle name="汇总 2 13" xfId="14075"/>
    <cellStyle name="汇总 2 2" xfId="14076"/>
    <cellStyle name="汇总 2 2 2" xfId="14077"/>
    <cellStyle name="输出 11 4 5" xfId="14078"/>
    <cellStyle name="汇总 2 2 2 2" xfId="14079"/>
    <cellStyle name="汇总 8" xfId="14080"/>
    <cellStyle name="输出 11 4 5 2" xfId="14081"/>
    <cellStyle name="汇总 2 2 3" xfId="14082"/>
    <cellStyle name="输出 11 4 6" xfId="14083"/>
    <cellStyle name="汇总 2 2 4" xfId="14084"/>
    <cellStyle name="汇总 2 3" xfId="14085"/>
    <cellStyle name="汇总 2 4" xfId="14086"/>
    <cellStyle name="汇总 2 5" xfId="14087"/>
    <cellStyle name="汇总 2 6" xfId="14088"/>
    <cellStyle name="汇总 2 7" xfId="14089"/>
    <cellStyle name="汇总 2 8" xfId="14090"/>
    <cellStyle name="汇总 2 8 2" xfId="14091"/>
    <cellStyle name="汇总 2 9" xfId="14092"/>
    <cellStyle name="汇总 3" xfId="14093"/>
    <cellStyle name="汇总 3 10" xfId="14094"/>
    <cellStyle name="汇总 3 11" xfId="14095"/>
    <cellStyle name="汇总 3 12" xfId="14096"/>
    <cellStyle name="汇总 3 13" xfId="14097"/>
    <cellStyle name="汇总 3 2" xfId="14098"/>
    <cellStyle name="汇总 3 2 2" xfId="14099"/>
    <cellStyle name="输出 12 4 5" xfId="14100"/>
    <cellStyle name="汇总 3 2 2 2" xfId="14101"/>
    <cellStyle name="输出 12 4 5 2" xfId="14102"/>
    <cellStyle name="汇总 3 2 4" xfId="14103"/>
    <cellStyle name="汇总 3 3" xfId="14104"/>
    <cellStyle name="汇总 3 3 2" xfId="14105"/>
    <cellStyle name="输出 12 5 5" xfId="14106"/>
    <cellStyle name="汇总 3 4" xfId="14107"/>
    <cellStyle name="汇总 3 4 2" xfId="14108"/>
    <cellStyle name="输出 12 6 5" xfId="14109"/>
    <cellStyle name="汇总 3 5" xfId="14110"/>
    <cellStyle name="汇总 3 5 2" xfId="14111"/>
    <cellStyle name="汇总 3 6" xfId="14112"/>
    <cellStyle name="汇总 3 6 2" xfId="14113"/>
    <cellStyle name="汇总 3 7" xfId="14114"/>
    <cellStyle name="汇总 3 8" xfId="14115"/>
    <cellStyle name="汇总 3 9" xfId="14116"/>
    <cellStyle name="汇总 4" xfId="14117"/>
    <cellStyle name="汇总 4 10" xfId="14118"/>
    <cellStyle name="汇总 4 13" xfId="14119"/>
    <cellStyle name="汇总 4 2" xfId="14120"/>
    <cellStyle name="汇总 4 2 2" xfId="14121"/>
    <cellStyle name="输出 13 4 5" xfId="14122"/>
    <cellStyle name="汇总 4 2 2 2" xfId="14123"/>
    <cellStyle name="输出 13 4 5 2" xfId="14124"/>
    <cellStyle name="汇总 4 2 4" xfId="14125"/>
    <cellStyle name="汇总 4 3" xfId="14126"/>
    <cellStyle name="汇总 4 3 2" xfId="14127"/>
    <cellStyle name="输出 13 5 5" xfId="14128"/>
    <cellStyle name="汇总 4 5 2" xfId="14129"/>
    <cellStyle name="汇总 4 6" xfId="14130"/>
    <cellStyle name="汇总 4 6 2" xfId="14131"/>
    <cellStyle name="汇总 4 7" xfId="14132"/>
    <cellStyle name="汇总 4 8" xfId="14133"/>
    <cellStyle name="汇总 4 9" xfId="14134"/>
    <cellStyle name="汇总 5" xfId="14135"/>
    <cellStyle name="汇总 5 10" xfId="14136"/>
    <cellStyle name="汇总 5 11" xfId="14137"/>
    <cellStyle name="汇总 5 12" xfId="14138"/>
    <cellStyle name="汇总 5 13" xfId="14139"/>
    <cellStyle name="汇总 5 2" xfId="14140"/>
    <cellStyle name="汇总 5 2 2 2" xfId="14141"/>
    <cellStyle name="汇总 5 2 3" xfId="14142"/>
    <cellStyle name="汇总 5 2 4" xfId="14143"/>
    <cellStyle name="汇总 5 3" xfId="14144"/>
    <cellStyle name="汇总 5 3 2" xfId="14145"/>
    <cellStyle name="汇总 5 4 2" xfId="14146"/>
    <cellStyle name="汇总 5 5" xfId="14147"/>
    <cellStyle name="汇总 5 5 2" xfId="14148"/>
    <cellStyle name="汇总 5 6" xfId="14149"/>
    <cellStyle name="汇总 5 6 2" xfId="14150"/>
    <cellStyle name="注释 3 15" xfId="14151"/>
    <cellStyle name="汇总 5 7" xfId="14152"/>
    <cellStyle name="汇总 5 8" xfId="14153"/>
    <cellStyle name="汇总 5 9" xfId="14154"/>
    <cellStyle name="汇总 6 10" xfId="14155"/>
    <cellStyle name="汇总 6 11" xfId="14156"/>
    <cellStyle name="汇总 6 12" xfId="14157"/>
    <cellStyle name="汇总 6 13" xfId="14158"/>
    <cellStyle name="汇总 6 2 2" xfId="14159"/>
    <cellStyle name="汇总 6 2 2 2" xfId="14160"/>
    <cellStyle name="汇总 6 2 3" xfId="14161"/>
    <cellStyle name="汇总 6 2 4" xfId="14162"/>
    <cellStyle name="汇总 6 3" xfId="14163"/>
    <cellStyle name="汇总 6 3 2" xfId="14164"/>
    <cellStyle name="汇总 6 5 2" xfId="14165"/>
    <cellStyle name="强调文字颜色 5 2 12" xfId="14166"/>
    <cellStyle name="汇总 6 6" xfId="14167"/>
    <cellStyle name="汇总 6 6 2" xfId="14168"/>
    <cellStyle name="注释 8 15" xfId="14169"/>
    <cellStyle name="汇总 6 7" xfId="14170"/>
    <cellStyle name="汇总 6 8" xfId="14171"/>
    <cellStyle name="汇总 6 9" xfId="14172"/>
    <cellStyle name="汇总 7 10" xfId="14173"/>
    <cellStyle name="汇总 7 11" xfId="14174"/>
    <cellStyle name="汇总 7 12" xfId="14175"/>
    <cellStyle name="汇总 7 13" xfId="14176"/>
    <cellStyle name="样式 1 4 2" xfId="14177"/>
    <cellStyle name="汇总 7 2" xfId="14178"/>
    <cellStyle name="汇总 7 2 2" xfId="14179"/>
    <cellStyle name="汇总 7 2 4" xfId="14180"/>
    <cellStyle name="汇总 7 3" xfId="14181"/>
    <cellStyle name="汇总 7 5" xfId="14182"/>
    <cellStyle name="汇总 7 6" xfId="14183"/>
    <cellStyle name="汇总 7 7" xfId="14184"/>
    <cellStyle name="汇总 7 8" xfId="14185"/>
    <cellStyle name="汇总 7 9" xfId="14186"/>
    <cellStyle name="汇总 8 11" xfId="14187"/>
    <cellStyle name="汇总 8 12" xfId="14188"/>
    <cellStyle name="汇总 8 13" xfId="14189"/>
    <cellStyle name="汇总 8 2" xfId="14190"/>
    <cellStyle name="强调文字颜色 2 12 2 4" xfId="14191"/>
    <cellStyle name="汇总 8 2 2" xfId="14192"/>
    <cellStyle name="汇总 8 2 2 2" xfId="14193"/>
    <cellStyle name="汇总 8 2 3" xfId="14194"/>
    <cellStyle name="汇总 8 2 4" xfId="14195"/>
    <cellStyle name="汇总 8 3" xfId="14196"/>
    <cellStyle name="汇总 8 3 2" xfId="14197"/>
    <cellStyle name="汇总 8 4" xfId="14198"/>
    <cellStyle name="汇总 8 4 2" xfId="14199"/>
    <cellStyle name="汇总 8 5" xfId="14200"/>
    <cellStyle name="汇总 8 5 2" xfId="14201"/>
    <cellStyle name="汇总 8 6" xfId="14202"/>
    <cellStyle name="汇总 8 6 2" xfId="14203"/>
    <cellStyle name="汇总 8 7" xfId="14204"/>
    <cellStyle name="汇总 8 8" xfId="14205"/>
    <cellStyle name="汇总 8 9" xfId="14206"/>
    <cellStyle name="汇总 9" xfId="14207"/>
    <cellStyle name="汇总 9 10" xfId="14208"/>
    <cellStyle name="链接单元格 2 7" xfId="14209"/>
    <cellStyle name="汇总 9 12" xfId="14210"/>
    <cellStyle name="链接单元格 2 9" xfId="14211"/>
    <cellStyle name="汇总 9 13" xfId="14212"/>
    <cellStyle name="汇总 9 2" xfId="14213"/>
    <cellStyle name="汇总 9 2 2" xfId="14214"/>
    <cellStyle name="汇总 9 2 2 2" xfId="14215"/>
    <cellStyle name="汇总 9 2 3" xfId="14216"/>
    <cellStyle name="汇总 9 2 4" xfId="14217"/>
    <cellStyle name="解释性文本 8 2" xfId="14218"/>
    <cellStyle name="汇总 9 3" xfId="14219"/>
    <cellStyle name="汇总 9 3 2" xfId="14220"/>
    <cellStyle name="汇总 9 4" xfId="14221"/>
    <cellStyle name="汇总 9 4 2" xfId="14222"/>
    <cellStyle name="汇总 9 5" xfId="14223"/>
    <cellStyle name="汇总 9 5 2" xfId="14224"/>
    <cellStyle name="汇总 9 6" xfId="14225"/>
    <cellStyle name="汇总 9 6 2" xfId="14226"/>
    <cellStyle name="汇总 9 7" xfId="14227"/>
    <cellStyle name="汇总 9 8" xfId="14228"/>
    <cellStyle name="汇总 9 9" xfId="14229"/>
    <cellStyle name="计算 10" xfId="14230"/>
    <cellStyle name="适中 11 8" xfId="14231"/>
    <cellStyle name="输出 11 13 2" xfId="14232"/>
    <cellStyle name="计算 10 10" xfId="14233"/>
    <cellStyle name="计算 10 11" xfId="14234"/>
    <cellStyle name="计算 10 2" xfId="14235"/>
    <cellStyle name="注释 2 2 2 3" xfId="14236"/>
    <cellStyle name="计算 10 2 2" xfId="14237"/>
    <cellStyle name="注释 5 6" xfId="14238"/>
    <cellStyle name="计算 10 2 2 2" xfId="14239"/>
    <cellStyle name="注释 5 6 2" xfId="14240"/>
    <cellStyle name="计算 10 2 6" xfId="14241"/>
    <cellStyle name="计算 10 3" xfId="14242"/>
    <cellStyle name="计算 10 3 2" xfId="14243"/>
    <cellStyle name="注释 6 6" xfId="14244"/>
    <cellStyle name="计算 10 3 2 2" xfId="14245"/>
    <cellStyle name="输出 13 12" xfId="14246"/>
    <cellStyle name="注释 6 6 2" xfId="14247"/>
    <cellStyle name="计算 10 3 5" xfId="14248"/>
    <cellStyle name="注释 6 9" xfId="14249"/>
    <cellStyle name="计算 10 4" xfId="14250"/>
    <cellStyle name="计算 10 4 2" xfId="14251"/>
    <cellStyle name="注释 7 6" xfId="14252"/>
    <cellStyle name="计算 10 4 5" xfId="14253"/>
    <cellStyle name="注释 7 9" xfId="14254"/>
    <cellStyle name="计算 10 5" xfId="14255"/>
    <cellStyle name="计算 10 5 2" xfId="14256"/>
    <cellStyle name="注释 8 6" xfId="14257"/>
    <cellStyle name="计算 10 5 3" xfId="14258"/>
    <cellStyle name="注释 8 7" xfId="14259"/>
    <cellStyle name="计算 10 5 4" xfId="14260"/>
    <cellStyle name="注释 8 8" xfId="14261"/>
    <cellStyle name="计算 10 5 5" xfId="14262"/>
    <cellStyle name="注释 8 9" xfId="14263"/>
    <cellStyle name="计算 10 6 2" xfId="14264"/>
    <cellStyle name="注释 9 6" xfId="14265"/>
    <cellStyle name="计算 10 6 3" xfId="14266"/>
    <cellStyle name="注释 9 7" xfId="14267"/>
    <cellStyle name="计算 10 6 4" xfId="14268"/>
    <cellStyle name="警告文本 2 2" xfId="14269"/>
    <cellStyle name="注释 9 8" xfId="14270"/>
    <cellStyle name="计算 10 6 5" xfId="14271"/>
    <cellStyle name="警告文本 2 3" xfId="14272"/>
    <cellStyle name="注释 9 9" xfId="14273"/>
    <cellStyle name="计算 10 7" xfId="14274"/>
    <cellStyle name="计算 10 8" xfId="14275"/>
    <cellStyle name="计算 10 9" xfId="14276"/>
    <cellStyle name="计算 11" xfId="14277"/>
    <cellStyle name="适中 11 9" xfId="14278"/>
    <cellStyle name="计算 11 14" xfId="14279"/>
    <cellStyle name="计算 11 15" xfId="14280"/>
    <cellStyle name="计算 11 16" xfId="14281"/>
    <cellStyle name="计算 11 2" xfId="14282"/>
    <cellStyle name="计算 11 2 2" xfId="14283"/>
    <cellStyle name="计算 11 2 2 2" xfId="14284"/>
    <cellStyle name="计算 11 3" xfId="14285"/>
    <cellStyle name="计算 11 3 2" xfId="14286"/>
    <cellStyle name="计算 11 3 2 2" xfId="14287"/>
    <cellStyle name="计算 11 3 4" xfId="14288"/>
    <cellStyle name="计算 11 3 5" xfId="14289"/>
    <cellStyle name="计算 11 4" xfId="14290"/>
    <cellStyle name="计算 11 4 2" xfId="14291"/>
    <cellStyle name="计算 11 4 3" xfId="14292"/>
    <cellStyle name="计算 11 4 4" xfId="14293"/>
    <cellStyle name="计算 11 4 5" xfId="14294"/>
    <cellStyle name="计算 11 5" xfId="14295"/>
    <cellStyle name="计算 11 5 2" xfId="14296"/>
    <cellStyle name="计算 11 5 3" xfId="14297"/>
    <cellStyle name="计算 11 6 5" xfId="14298"/>
    <cellStyle name="计算 11 9" xfId="14299"/>
    <cellStyle name="计算 12" xfId="14300"/>
    <cellStyle name="计算 12 11" xfId="14301"/>
    <cellStyle name="计算 12 12" xfId="14302"/>
    <cellStyle name="计算 12 13" xfId="14303"/>
    <cellStyle name="计算 12 14" xfId="14304"/>
    <cellStyle name="计算 12 15" xfId="14305"/>
    <cellStyle name="计算 12 16" xfId="14306"/>
    <cellStyle name="计算 12 2" xfId="14307"/>
    <cellStyle name="计算 12 2 2" xfId="14308"/>
    <cellStyle name="计算 12 2 2 2" xfId="14309"/>
    <cellStyle name="计算 12 2 5" xfId="14310"/>
    <cellStyle name="计算 12 3" xfId="14311"/>
    <cellStyle name="计算 12 3 2" xfId="14312"/>
    <cellStyle name="计算 12 3 2 2" xfId="14313"/>
    <cellStyle name="计算 12 3 4" xfId="14314"/>
    <cellStyle name="计算 12 3 5" xfId="14315"/>
    <cellStyle name="计算 12 4" xfId="14316"/>
    <cellStyle name="计算 12 4 2" xfId="14317"/>
    <cellStyle name="计算 12 4 3" xfId="14318"/>
    <cellStyle name="计算 12 4 4" xfId="14319"/>
    <cellStyle name="计算 12 4 5" xfId="14320"/>
    <cellStyle name="计算 12 5" xfId="14321"/>
    <cellStyle name="计算 12 5 2" xfId="14322"/>
    <cellStyle name="计算 12 5 3" xfId="14323"/>
    <cellStyle name="计算 12 5 4" xfId="14324"/>
    <cellStyle name="计算 12 5 5" xfId="14325"/>
    <cellStyle name="计算 12 6 3" xfId="14326"/>
    <cellStyle name="计算 12 6 4" xfId="14327"/>
    <cellStyle name="计算 12 6 5" xfId="14328"/>
    <cellStyle name="计算 12 8" xfId="14329"/>
    <cellStyle name="计算 12 9" xfId="14330"/>
    <cellStyle name="计算 13" xfId="14331"/>
    <cellStyle name="计算 13 11" xfId="14332"/>
    <cellStyle name="计算 13 12" xfId="14333"/>
    <cellStyle name="计算 13 13" xfId="14334"/>
    <cellStyle name="计算 13 14" xfId="14335"/>
    <cellStyle name="计算 13 15" xfId="14336"/>
    <cellStyle name="计算 13 16" xfId="14337"/>
    <cellStyle name="强调文字颜色 2 8 6 2" xfId="14338"/>
    <cellStyle name="计算 13 17" xfId="14339"/>
    <cellStyle name="计算 13 2" xfId="14340"/>
    <cellStyle name="计算 13 2 2" xfId="14341"/>
    <cellStyle name="计算 13 2 2 2" xfId="14342"/>
    <cellStyle name="计算 13 2 4" xfId="14343"/>
    <cellStyle name="计算 13 2 5" xfId="14344"/>
    <cellStyle name="计算 13 3" xfId="14345"/>
    <cellStyle name="计算 13 3 2" xfId="14346"/>
    <cellStyle name="计算 13 3 3" xfId="14347"/>
    <cellStyle name="计算 13 3 4" xfId="14348"/>
    <cellStyle name="计算 13 3 5" xfId="14349"/>
    <cellStyle name="计算 13 4" xfId="14350"/>
    <cellStyle name="计算 13 5" xfId="14351"/>
    <cellStyle name="计算 13 7" xfId="14352"/>
    <cellStyle name="计算 13 8" xfId="14353"/>
    <cellStyle name="计算 13 9" xfId="14354"/>
    <cellStyle name="计算 14" xfId="14355"/>
    <cellStyle name="计算 14 2" xfId="14356"/>
    <cellStyle name="计算 14 3" xfId="14357"/>
    <cellStyle name="计算 15" xfId="14358"/>
    <cellStyle name="计算 16" xfId="14359"/>
    <cellStyle name="计算 17" xfId="14360"/>
    <cellStyle name="计算 2" xfId="14361"/>
    <cellStyle name="计算 2 11" xfId="14362"/>
    <cellStyle name="计算 2 12" xfId="14363"/>
    <cellStyle name="计算 2 13" xfId="14364"/>
    <cellStyle name="计算 2 14" xfId="14365"/>
    <cellStyle name="计算 2 15" xfId="14366"/>
    <cellStyle name="计算 2 16" xfId="14367"/>
    <cellStyle name="计算 2 2" xfId="14368"/>
    <cellStyle name="计算 2 2 2" xfId="14369"/>
    <cellStyle name="计算 5 9" xfId="14370"/>
    <cellStyle name="计算 2 2 2 2" xfId="14371"/>
    <cellStyle name="计算 2 2 3 2" xfId="14372"/>
    <cellStyle name="计算 2 2 4" xfId="14373"/>
    <cellStyle name="计算 2 2 5" xfId="14374"/>
    <cellStyle name="计算 2 2 6" xfId="14375"/>
    <cellStyle name="计算 2 3" xfId="14376"/>
    <cellStyle name="计算 2 3 2" xfId="14377"/>
    <cellStyle name="计算 6 9" xfId="14378"/>
    <cellStyle name="计算 2 3 2 2" xfId="14379"/>
    <cellStyle name="计算 2 3 3" xfId="14380"/>
    <cellStyle name="计算 2 3 3 2" xfId="14381"/>
    <cellStyle name="计算 2 3 4" xfId="14382"/>
    <cellStyle name="计算 2 3 5" xfId="14383"/>
    <cellStyle name="计算 2 4" xfId="14384"/>
    <cellStyle name="输出 8 4 3 2" xfId="14385"/>
    <cellStyle name="计算 2 4 2" xfId="14386"/>
    <cellStyle name="计算 7 9" xfId="14387"/>
    <cellStyle name="计算 2 4 2 2" xfId="14388"/>
    <cellStyle name="计算 2 4 3" xfId="14389"/>
    <cellStyle name="计算 2 4 3 2" xfId="14390"/>
    <cellStyle name="计算 2 4 4" xfId="14391"/>
    <cellStyle name="计算 2 4 5" xfId="14392"/>
    <cellStyle name="适中 4 2 2" xfId="14393"/>
    <cellStyle name="计算 2 5" xfId="14394"/>
    <cellStyle name="计算 2 5 2" xfId="14395"/>
    <cellStyle name="计算 8 9" xfId="14396"/>
    <cellStyle name="计算 2 5 3" xfId="14397"/>
    <cellStyle name="千位分隔 14 3 2 2" xfId="14398"/>
    <cellStyle name="计算 2 5 4" xfId="14399"/>
    <cellStyle name="计算 2 5 5" xfId="14400"/>
    <cellStyle name="适中 4 3 2" xfId="14401"/>
    <cellStyle name="计算 2 6" xfId="14402"/>
    <cellStyle name="计算 2 6 2" xfId="14403"/>
    <cellStyle name="计算 9 9" xfId="14404"/>
    <cellStyle name="计算 2 6 4" xfId="14405"/>
    <cellStyle name="计算 2 6 5" xfId="14406"/>
    <cellStyle name="适中 4 4 2" xfId="14407"/>
    <cellStyle name="计算 2 7" xfId="14408"/>
    <cellStyle name="计算 2 7 2" xfId="14409"/>
    <cellStyle name="计算 2 8" xfId="14410"/>
    <cellStyle name="计算 2 8 2" xfId="14411"/>
    <cellStyle name="计算 2 9" xfId="14412"/>
    <cellStyle name="计算 3" xfId="14413"/>
    <cellStyle name="计算 3 11" xfId="14414"/>
    <cellStyle name="计算 3 12" xfId="14415"/>
    <cellStyle name="计算 3 2" xfId="14416"/>
    <cellStyle name="计算 3 2 2" xfId="14417"/>
    <cellStyle name="计算 3 2 2 2" xfId="14418"/>
    <cellStyle name="计算 3 2 3" xfId="14419"/>
    <cellStyle name="计算 3 2 3 2" xfId="14420"/>
    <cellStyle name="计算 3 2 4" xfId="14421"/>
    <cellStyle name="计算 3 2 5" xfId="14422"/>
    <cellStyle name="计算 3 2 6" xfId="14423"/>
    <cellStyle name="计算 3 3" xfId="14424"/>
    <cellStyle name="计算 3 3 2" xfId="14425"/>
    <cellStyle name="计算 3 3 2 2" xfId="14426"/>
    <cellStyle name="计算 3 3 3" xfId="14427"/>
    <cellStyle name="计算 3 3 4" xfId="14428"/>
    <cellStyle name="计算 3 3 5" xfId="14429"/>
    <cellStyle name="计算 3 4 2" xfId="14430"/>
    <cellStyle name="计算 3 4 3" xfId="14431"/>
    <cellStyle name="计算 3 4 4" xfId="14432"/>
    <cellStyle name="计算 3 4 5" xfId="14433"/>
    <cellStyle name="适中 5 2 2" xfId="14434"/>
    <cellStyle name="计算 3 5" xfId="14435"/>
    <cellStyle name="计算 3 6" xfId="14436"/>
    <cellStyle name="计算 3 6 2" xfId="14437"/>
    <cellStyle name="计算 3 6 3" xfId="14438"/>
    <cellStyle name="计算 3 6 4" xfId="14439"/>
    <cellStyle name="输入 10" xfId="14440"/>
    <cellStyle name="计算 3 6 5" xfId="14441"/>
    <cellStyle name="适中 5 4 2" xfId="14442"/>
    <cellStyle name="输入 11" xfId="14443"/>
    <cellStyle name="计算 3 7" xfId="14444"/>
    <cellStyle name="计算 3 8" xfId="14445"/>
    <cellStyle name="计算 3 9" xfId="14446"/>
    <cellStyle name="计算 4" xfId="14447"/>
    <cellStyle name="计算 4 12" xfId="14448"/>
    <cellStyle name="计算 4 13" xfId="14449"/>
    <cellStyle name="计算 4 14" xfId="14450"/>
    <cellStyle name="计算 4 15" xfId="14451"/>
    <cellStyle name="计算 4 16" xfId="14452"/>
    <cellStyle name="计算 4 2" xfId="14453"/>
    <cellStyle name="计算 4 2 2" xfId="14454"/>
    <cellStyle name="计算 4 2 2 2" xfId="14455"/>
    <cellStyle name="计算 4 2 3" xfId="14456"/>
    <cellStyle name="计算 4 2 3 2" xfId="14457"/>
    <cellStyle name="计算 4 2 4" xfId="14458"/>
    <cellStyle name="计算 4 2 5" xfId="14459"/>
    <cellStyle name="计算 4 2 6" xfId="14460"/>
    <cellStyle name="计算 4 3" xfId="14461"/>
    <cellStyle name="计算 4 3 2" xfId="14462"/>
    <cellStyle name="计算 4 3 2 2" xfId="14463"/>
    <cellStyle name="计算 4 3 3" xfId="14464"/>
    <cellStyle name="计算 4 3 4" xfId="14465"/>
    <cellStyle name="计算 4 3 5" xfId="14466"/>
    <cellStyle name="计算 4 4 2" xfId="14467"/>
    <cellStyle name="计算 4 4 3" xfId="14468"/>
    <cellStyle name="计算 4 4 4" xfId="14469"/>
    <cellStyle name="计算 4 4 5" xfId="14470"/>
    <cellStyle name="适中 6 2 2" xfId="14471"/>
    <cellStyle name="计算 4 5" xfId="14472"/>
    <cellStyle name="计算 4 6" xfId="14473"/>
    <cellStyle name="计算 4 6 2" xfId="14474"/>
    <cellStyle name="计算 4 6 3" xfId="14475"/>
    <cellStyle name="计算 4 6 4" xfId="14476"/>
    <cellStyle name="计算 4 6 5" xfId="14477"/>
    <cellStyle name="适中 6 4 2" xfId="14478"/>
    <cellStyle name="计算 4 7" xfId="14479"/>
    <cellStyle name="计算 4 8" xfId="14480"/>
    <cellStyle name="计算 4 9" xfId="14481"/>
    <cellStyle name="计算 5" xfId="14482"/>
    <cellStyle name="计算 5 10" xfId="14483"/>
    <cellStyle name="计算 5 11" xfId="14484"/>
    <cellStyle name="计算 5 12" xfId="14485"/>
    <cellStyle name="计算 5 13" xfId="14486"/>
    <cellStyle name="计算 5 14" xfId="14487"/>
    <cellStyle name="计算 5 15" xfId="14488"/>
    <cellStyle name="计算 5 16" xfId="14489"/>
    <cellStyle name="计算 5 2" xfId="14490"/>
    <cellStyle name="计算 5 2 2" xfId="14491"/>
    <cellStyle name="计算 5 2 2 2" xfId="14492"/>
    <cellStyle name="输入 10 2 4" xfId="14493"/>
    <cellStyle name="计算 5 2 3" xfId="14494"/>
    <cellStyle name="计算 5 2 3 2" xfId="14495"/>
    <cellStyle name="输入 10 3 4" xfId="14496"/>
    <cellStyle name="计算 5 2 4" xfId="14497"/>
    <cellStyle name="计算 5 2 5" xfId="14498"/>
    <cellStyle name="计算 5 2 6" xfId="14499"/>
    <cellStyle name="计算 5 3" xfId="14500"/>
    <cellStyle name="计算 5 3 2" xfId="14501"/>
    <cellStyle name="计算 5 3 2 2" xfId="14502"/>
    <cellStyle name="输入 11 2 4" xfId="14503"/>
    <cellStyle name="计算 5 3 3" xfId="14504"/>
    <cellStyle name="计算 5 3 4" xfId="14505"/>
    <cellStyle name="计算 5 3 5" xfId="14506"/>
    <cellStyle name="计算 5 4 3" xfId="14507"/>
    <cellStyle name="计算 5 4 4" xfId="14508"/>
    <cellStyle name="计算 5 4 5" xfId="14509"/>
    <cellStyle name="适中 7 2 2" xfId="14510"/>
    <cellStyle name="计算 5 5 2" xfId="14511"/>
    <cellStyle name="计算 5 5 3" xfId="14512"/>
    <cellStyle name="计算 5 5 4" xfId="14513"/>
    <cellStyle name="强调文字颜色 3 4 2 2 2" xfId="14514"/>
    <cellStyle name="计算 5 5 5" xfId="14515"/>
    <cellStyle name="适中 7 3 2" xfId="14516"/>
    <cellStyle name="计算 5 6" xfId="14517"/>
    <cellStyle name="计算 5 6 2" xfId="14518"/>
    <cellStyle name="计算 5 6 3" xfId="14519"/>
    <cellStyle name="计算 5 6 4" xfId="14520"/>
    <cellStyle name="计算 5 6 5" xfId="14521"/>
    <cellStyle name="适中 7 4 2" xfId="14522"/>
    <cellStyle name="计算 5 7" xfId="14523"/>
    <cellStyle name="计算 5 8" xfId="14524"/>
    <cellStyle name="计算 6 10" xfId="14525"/>
    <cellStyle name="计算 6 13" xfId="14526"/>
    <cellStyle name="计算 6 14" xfId="14527"/>
    <cellStyle name="计算 6 15" xfId="14528"/>
    <cellStyle name="计算 6 16" xfId="14529"/>
    <cellStyle name="计算 6 2" xfId="14530"/>
    <cellStyle name="计算 6 2 2" xfId="14531"/>
    <cellStyle name="计算 6 2 2 2" xfId="14532"/>
    <cellStyle name="计算 6 2 3" xfId="14533"/>
    <cellStyle name="计算 6 2 3 2" xfId="14534"/>
    <cellStyle name="计算 6 2 4" xfId="14535"/>
    <cellStyle name="计算 6 3" xfId="14536"/>
    <cellStyle name="计算 6 3 2" xfId="14537"/>
    <cellStyle name="计算 6 3 2 2" xfId="14538"/>
    <cellStyle name="计算 6 3 3" xfId="14539"/>
    <cellStyle name="计算 6 4 2" xfId="14540"/>
    <cellStyle name="计算 6 4 3" xfId="14541"/>
    <cellStyle name="计算 6 4 4" xfId="14542"/>
    <cellStyle name="计算 6 5" xfId="14543"/>
    <cellStyle name="计算 6 6" xfId="14544"/>
    <cellStyle name="计算 6 6 5" xfId="14545"/>
    <cellStyle name="适中 8 4 2" xfId="14546"/>
    <cellStyle name="计算 6 7" xfId="14547"/>
    <cellStyle name="数量 2" xfId="14548"/>
    <cellStyle name="计算 6 8" xfId="14549"/>
    <cellStyle name="数量 3" xfId="14550"/>
    <cellStyle name="计算 7" xfId="14551"/>
    <cellStyle name="适中 2 11" xfId="14552"/>
    <cellStyle name="输出 11 2 3 3" xfId="14553"/>
    <cellStyle name="计算 7 11" xfId="14554"/>
    <cellStyle name="计算 7 12" xfId="14555"/>
    <cellStyle name="计算 7 13" xfId="14556"/>
    <cellStyle name="计算 7 14" xfId="14557"/>
    <cellStyle name="计算 7 15" xfId="14558"/>
    <cellStyle name="计算 7 16" xfId="14559"/>
    <cellStyle name="计算 7 2" xfId="14560"/>
    <cellStyle name="计算 7 2 2" xfId="14561"/>
    <cellStyle name="计算 7 2 2 2" xfId="14562"/>
    <cellStyle name="计算 7 2 3" xfId="14563"/>
    <cellStyle name="计算 7 2 3 2" xfId="14564"/>
    <cellStyle name="计算 7 2 4" xfId="14565"/>
    <cellStyle name="计算 7 2 5" xfId="14566"/>
    <cellStyle name="计算 7 2 6" xfId="14567"/>
    <cellStyle name="计算 7 3" xfId="14568"/>
    <cellStyle name="计算 7 3 2" xfId="14569"/>
    <cellStyle name="计算 7 3 2 2" xfId="14570"/>
    <cellStyle name="计算 7 3 5" xfId="14571"/>
    <cellStyle name="计算 7 4" xfId="14572"/>
    <cellStyle name="计算 7 4 2" xfId="14573"/>
    <cellStyle name="计算 7 4 4" xfId="14574"/>
    <cellStyle name="计算 7 4 5" xfId="14575"/>
    <cellStyle name="适中 9 2 2" xfId="14576"/>
    <cellStyle name="计算 7 5" xfId="14577"/>
    <cellStyle name="计算 7 5 2" xfId="14578"/>
    <cellStyle name="输出 2 2 2 3" xfId="14579"/>
    <cellStyle name="计算 7 5 3" xfId="14580"/>
    <cellStyle name="计算 7 5 4" xfId="14581"/>
    <cellStyle name="计算 7 5 5" xfId="14582"/>
    <cellStyle name="适中 9 3 2" xfId="14583"/>
    <cellStyle name="计算 7 6" xfId="14584"/>
    <cellStyle name="计算 7 6 3" xfId="14585"/>
    <cellStyle name="计算 7 6 4" xfId="14586"/>
    <cellStyle name="计算 7 6 5" xfId="14587"/>
    <cellStyle name="适中 9 4 2" xfId="14588"/>
    <cellStyle name="计算 7 7" xfId="14589"/>
    <cellStyle name="计算 7 8" xfId="14590"/>
    <cellStyle name="计算 8" xfId="14591"/>
    <cellStyle name="适中 2 12" xfId="14592"/>
    <cellStyle name="计算 8 10" xfId="14593"/>
    <cellStyle name="计算 8 11" xfId="14594"/>
    <cellStyle name="计算 8 12" xfId="14595"/>
    <cellStyle name="计算 8 2" xfId="14596"/>
    <cellStyle name="计算 8 2 2" xfId="14597"/>
    <cellStyle name="计算 8 2 2 2" xfId="14598"/>
    <cellStyle name="计算 8 2 6" xfId="14599"/>
    <cellStyle name="计算 8 3" xfId="14600"/>
    <cellStyle name="计算 8 3 2" xfId="14601"/>
    <cellStyle name="计算 8 3 2 2" xfId="14602"/>
    <cellStyle name="计算 8 4" xfId="14603"/>
    <cellStyle name="计算 8 4 2" xfId="14604"/>
    <cellStyle name="计算 8 4 5" xfId="14605"/>
    <cellStyle name="计算 8 5" xfId="14606"/>
    <cellStyle name="计算 8 5 2" xfId="14607"/>
    <cellStyle name="输出 2 3 2 3" xfId="14608"/>
    <cellStyle name="计算 8 5 4" xfId="14609"/>
    <cellStyle name="计算 8 5 5" xfId="14610"/>
    <cellStyle name="计算 8 6" xfId="14611"/>
    <cellStyle name="计算 8 6 4" xfId="14612"/>
    <cellStyle name="计算 8 6 5" xfId="14613"/>
    <cellStyle name="计算 8 7" xfId="14614"/>
    <cellStyle name="计算 8 8" xfId="14615"/>
    <cellStyle name="计算 9 12" xfId="14616"/>
    <cellStyle name="计算 9 13" xfId="14617"/>
    <cellStyle name="计算 9 14" xfId="14618"/>
    <cellStyle name="计算 9 15" xfId="14619"/>
    <cellStyle name="计算 9 2 2" xfId="14620"/>
    <cellStyle name="输出 8 8" xfId="14621"/>
    <cellStyle name="计算 9 2 6" xfId="14622"/>
    <cellStyle name="计算 9 3" xfId="14623"/>
    <cellStyle name="计算 9 3 2" xfId="14624"/>
    <cellStyle name="输出 9 8" xfId="14625"/>
    <cellStyle name="计算 9 3 5" xfId="14626"/>
    <cellStyle name="计算 9 4" xfId="14627"/>
    <cellStyle name="计算 9 4 2" xfId="14628"/>
    <cellStyle name="计算 9 4 4" xfId="14629"/>
    <cellStyle name="计算 9 4 5" xfId="14630"/>
    <cellStyle name="计算 9 5" xfId="14631"/>
    <cellStyle name="计算 9 5 2" xfId="14632"/>
    <cellStyle name="输出 2 4 2 3" xfId="14633"/>
    <cellStyle name="计算 9 5 5" xfId="14634"/>
    <cellStyle name="计算 9 6" xfId="14635"/>
    <cellStyle name="计算 9 6 5" xfId="14636"/>
    <cellStyle name="计算 9 7" xfId="14637"/>
    <cellStyle name="计算 9 8" xfId="14638"/>
    <cellStyle name="检查单元格 10 10" xfId="14639"/>
    <cellStyle name="检查单元格 10 11" xfId="14640"/>
    <cellStyle name="检查单元格 10 12" xfId="14641"/>
    <cellStyle name="检查单元格 10 2" xfId="14642"/>
    <cellStyle name="检查单元格 10 2 2" xfId="14643"/>
    <cellStyle name="检查单元格 10 2 3" xfId="14644"/>
    <cellStyle name="检查单元格 10 2 4" xfId="14645"/>
    <cellStyle name="检查单元格 10 3" xfId="14646"/>
    <cellStyle name="检查单元格 10 3 2" xfId="14647"/>
    <cellStyle name="检查单元格 10 5 2" xfId="14648"/>
    <cellStyle name="检查单元格 10 6" xfId="14649"/>
    <cellStyle name="检查单元格 10 7" xfId="14650"/>
    <cellStyle name="检查单元格 10 8" xfId="14651"/>
    <cellStyle name="检查单元格 10 9" xfId="14652"/>
    <cellStyle name="检查单元格 11" xfId="14653"/>
    <cellStyle name="检查单元格 11 11" xfId="14654"/>
    <cellStyle name="千位分隔 2 2 16" xfId="14655"/>
    <cellStyle name="检查单元格 11 12" xfId="14656"/>
    <cellStyle name="千位分隔 2 2 17" xfId="14657"/>
    <cellStyle name="检查单元格 11 2" xfId="14658"/>
    <cellStyle name="千位分隔 2 2 3" xfId="14659"/>
    <cellStyle name="检查单元格 11 2 2" xfId="14660"/>
    <cellStyle name="千位分隔 2 2 3 2" xfId="14661"/>
    <cellStyle name="检查单元格 11 2 2 2" xfId="14662"/>
    <cellStyle name="千位分隔 2 2 3 2 2" xfId="14663"/>
    <cellStyle name="检查单元格 11 2 3" xfId="14664"/>
    <cellStyle name="千位分隔 2 2 3 3" xfId="14665"/>
    <cellStyle name="检查单元格 11 2 4" xfId="14666"/>
    <cellStyle name="千位分隔 2 2 3 4" xfId="14667"/>
    <cellStyle name="检查单元格 11 3" xfId="14668"/>
    <cellStyle name="千位分隔 2 2 4" xfId="14669"/>
    <cellStyle name="检查单元格 11 4 2" xfId="14670"/>
    <cellStyle name="千位分隔 2 2 5 2" xfId="14671"/>
    <cellStyle name="输入 4 14" xfId="14672"/>
    <cellStyle name="检查单元格 11 5" xfId="14673"/>
    <cellStyle name="千位分隔 2 2 6" xfId="14674"/>
    <cellStyle name="检查单元格 11 5 2" xfId="14675"/>
    <cellStyle name="千位分隔 2 2 6 2" xfId="14676"/>
    <cellStyle name="检查单元格 11 6" xfId="14677"/>
    <cellStyle name="千位分隔 2 2 7" xfId="14678"/>
    <cellStyle name="检查单元格 11 7" xfId="14679"/>
    <cellStyle name="千位分隔 2 2 8" xfId="14680"/>
    <cellStyle name="检查单元格 11 8" xfId="14681"/>
    <cellStyle name="千位分隔 2 2 9" xfId="14682"/>
    <cellStyle name="检查单元格 11 9" xfId="14683"/>
    <cellStyle name="检查单元格 12 10" xfId="14684"/>
    <cellStyle name="千位分隔 2 3 15" xfId="14685"/>
    <cellStyle name="检查单元格 12 11" xfId="14686"/>
    <cellStyle name="检查单元格 12 12" xfId="14687"/>
    <cellStyle name="检查单元格 12 2" xfId="14688"/>
    <cellStyle name="千位分隔 2 3 3" xfId="14689"/>
    <cellStyle name="检查单元格 12 2 2" xfId="14690"/>
    <cellStyle name="千位分隔 2 3 3 2" xfId="14691"/>
    <cellStyle name="检查单元格 12 2 2 2" xfId="14692"/>
    <cellStyle name="千位分隔 2 3 3 2 2" xfId="14693"/>
    <cellStyle name="检查单元格 12 2 3" xfId="14694"/>
    <cellStyle name="千位分隔 2 3 3 3" xfId="14695"/>
    <cellStyle name="检查单元格 12 2 4" xfId="14696"/>
    <cellStyle name="检查单元格 12 3" xfId="14697"/>
    <cellStyle name="千位分隔 2 3 4" xfId="14698"/>
    <cellStyle name="检查单元格 12 3 2" xfId="14699"/>
    <cellStyle name="千位分隔 2 3 4 2" xfId="14700"/>
    <cellStyle name="检查单元格 12 4" xfId="14701"/>
    <cellStyle name="千位分隔 2 3 5" xfId="14702"/>
    <cellStyle name="检查单元格 12 4 2" xfId="14703"/>
    <cellStyle name="千位分隔 2 3 5 2" xfId="14704"/>
    <cellStyle name="输入 9 14" xfId="14705"/>
    <cellStyle name="检查单元格 12 5" xfId="14706"/>
    <cellStyle name="千位分隔 2 3 6" xfId="14707"/>
    <cellStyle name="检查单元格 12 5 2" xfId="14708"/>
    <cellStyle name="千位分隔 2 3 6 2" xfId="14709"/>
    <cellStyle name="检查单元格 12 6" xfId="14710"/>
    <cellStyle name="千位分隔 2 3 7" xfId="14711"/>
    <cellStyle name="检查单元格 12 7" xfId="14712"/>
    <cellStyle name="千位分隔 2 3 8" xfId="14713"/>
    <cellStyle name="检查单元格 13" xfId="14714"/>
    <cellStyle name="检查单元格 13 10" xfId="14715"/>
    <cellStyle name="检查单元格 13 11" xfId="14716"/>
    <cellStyle name="检查单元格 13 12" xfId="14717"/>
    <cellStyle name="检查单元格 13 13" xfId="14718"/>
    <cellStyle name="输入 10 6 2" xfId="14719"/>
    <cellStyle name="检查单元格 13 2" xfId="14720"/>
    <cellStyle name="千位分隔 2 4 3" xfId="14721"/>
    <cellStyle name="检查单元格 13 2 2 2" xfId="14722"/>
    <cellStyle name="检查单元格 13 2 3" xfId="14723"/>
    <cellStyle name="检查单元格 13 2 4" xfId="14724"/>
    <cellStyle name="检查单元格 13 3" xfId="14725"/>
    <cellStyle name="千位分隔 2 4 4" xfId="14726"/>
    <cellStyle name="检查单元格 13 3 2" xfId="14727"/>
    <cellStyle name="检查单元格 13 3 2 2" xfId="14728"/>
    <cellStyle name="检查单元格 13 4" xfId="14729"/>
    <cellStyle name="千位分隔 2 4 5" xfId="14730"/>
    <cellStyle name="检查单元格 13 4 2" xfId="14731"/>
    <cellStyle name="检查单元格 13 5" xfId="14732"/>
    <cellStyle name="千位分隔 2 4 6" xfId="14733"/>
    <cellStyle name="检查单元格 13 5 2" xfId="14734"/>
    <cellStyle name="检查单元格 13 6" xfId="14735"/>
    <cellStyle name="千位分隔 2 4 7" xfId="14736"/>
    <cellStyle name="检查单元格 13 7" xfId="14737"/>
    <cellStyle name="千位分隔 2 4 8" xfId="14738"/>
    <cellStyle name="检查单元格 13 9" xfId="14739"/>
    <cellStyle name="检查单元格 14 2" xfId="14740"/>
    <cellStyle name="千位分隔 2 5 3" xfId="14741"/>
    <cellStyle name="检查单元格 14 2 2" xfId="14742"/>
    <cellStyle name="检查单元格 14 3" xfId="14743"/>
    <cellStyle name="千位分隔 2 5 4" xfId="14744"/>
    <cellStyle name="检查单元格 15" xfId="14745"/>
    <cellStyle name="检查单元格 16" xfId="14746"/>
    <cellStyle name="检查单元格 17" xfId="14747"/>
    <cellStyle name="检查单元格 2" xfId="14748"/>
    <cellStyle name="检查单元格 2 2 2" xfId="14749"/>
    <cellStyle name="检查单元格 2 2 2 2" xfId="14750"/>
    <cellStyle name="检查单元格 2 2 3" xfId="14751"/>
    <cellStyle name="检查单元格 2 2 4" xfId="14752"/>
    <cellStyle name="强调文字颜色 5 7 6 2" xfId="14753"/>
    <cellStyle name="检查单元格 2 3" xfId="14754"/>
    <cellStyle name="检查单元格 2 3 2" xfId="14755"/>
    <cellStyle name="检查单元格 2 3 2 2" xfId="14756"/>
    <cellStyle name="检查单元格 2 3 3" xfId="14757"/>
    <cellStyle name="输出 9 3 2 2" xfId="14758"/>
    <cellStyle name="检查单元格 2 4" xfId="14759"/>
    <cellStyle name="检查单元格 2 4 2" xfId="14760"/>
    <cellStyle name="检查单元格 2 4 2 2" xfId="14761"/>
    <cellStyle name="检查单元格 2 4 3" xfId="14762"/>
    <cellStyle name="输出 9 3 3 2" xfId="14763"/>
    <cellStyle name="检查单元格 2 5" xfId="14764"/>
    <cellStyle name="检查单元格 2 6" xfId="14765"/>
    <cellStyle name="检查单元格 2 6 2" xfId="14766"/>
    <cellStyle name="检查单元格 2 7" xfId="14767"/>
    <cellStyle name="检查单元格 2 7 2" xfId="14768"/>
    <cellStyle name="检查单元格 2 8" xfId="14769"/>
    <cellStyle name="检查单元格 2 8 2" xfId="14770"/>
    <cellStyle name="检查单元格 2 9" xfId="14771"/>
    <cellStyle name="检查单元格 3" xfId="14772"/>
    <cellStyle name="检查单元格 3 10" xfId="14773"/>
    <cellStyle name="检查单元格 3 2" xfId="14774"/>
    <cellStyle name="检查单元格 3 2 2" xfId="14775"/>
    <cellStyle name="检查单元格 3 2 2 2" xfId="14776"/>
    <cellStyle name="检查单元格 3 2 3" xfId="14777"/>
    <cellStyle name="检查单元格 3 2 4" xfId="14778"/>
    <cellStyle name="强调文字颜色 5 8 6 2" xfId="14779"/>
    <cellStyle name="检查单元格 3 3" xfId="14780"/>
    <cellStyle name="检查单元格 3 3 2" xfId="14781"/>
    <cellStyle name="检查单元格 3 4" xfId="14782"/>
    <cellStyle name="检查单元格 3 4 2" xfId="14783"/>
    <cellStyle name="检查单元格 3 5" xfId="14784"/>
    <cellStyle name="检查单元格 3 6 2" xfId="14785"/>
    <cellStyle name="检查单元格 4" xfId="14786"/>
    <cellStyle name="检查单元格 4 10" xfId="14787"/>
    <cellStyle name="检查单元格 4 11" xfId="14788"/>
    <cellStyle name="检查单元格 4 12" xfId="14789"/>
    <cellStyle name="检查单元格 4 2" xfId="14790"/>
    <cellStyle name="检查单元格 4 2 2" xfId="14791"/>
    <cellStyle name="检查单元格 4 2 2 2" xfId="14792"/>
    <cellStyle name="注释 8 4 5" xfId="14793"/>
    <cellStyle name="检查单元格 4 2 3" xfId="14794"/>
    <cellStyle name="检查单元格 4 2 4" xfId="14795"/>
    <cellStyle name="强调文字颜色 5 9 6 2" xfId="14796"/>
    <cellStyle name="检查单元格 4 3" xfId="14797"/>
    <cellStyle name="检查单元格 4 3 2" xfId="14798"/>
    <cellStyle name="检查单元格 4 4" xfId="14799"/>
    <cellStyle name="检查单元格 4 4 2" xfId="14800"/>
    <cellStyle name="检查单元格 4 5" xfId="14801"/>
    <cellStyle name="检查单元格 4 5 2" xfId="14802"/>
    <cellStyle name="检查单元格 4 6 2" xfId="14803"/>
    <cellStyle name="检查单元格 4 7" xfId="14804"/>
    <cellStyle name="检查单元格 4 8" xfId="14805"/>
    <cellStyle name="检查单元格 4 9" xfId="14806"/>
    <cellStyle name="检查单元格 5" xfId="14807"/>
    <cellStyle name="检查单元格 5 11" xfId="14808"/>
    <cellStyle name="检查单元格 5 12" xfId="14809"/>
    <cellStyle name="检查单元格 5 2" xfId="14810"/>
    <cellStyle name="检查单元格 5 2 2 2" xfId="14811"/>
    <cellStyle name="检查单元格 5 2 4" xfId="14812"/>
    <cellStyle name="检查单元格 5 3" xfId="14813"/>
    <cellStyle name="检查单元格 5 3 2" xfId="14814"/>
    <cellStyle name="检查单元格 5 4 2" xfId="14815"/>
    <cellStyle name="检查单元格 5 5" xfId="14816"/>
    <cellStyle name="检查单元格 5 5 2" xfId="14817"/>
    <cellStyle name="检查单元格 6" xfId="14818"/>
    <cellStyle name="检查单元格 6 10" xfId="14819"/>
    <cellStyle name="检查单元格 6 11" xfId="14820"/>
    <cellStyle name="检查单元格 6 12" xfId="14821"/>
    <cellStyle name="检查单元格 6 2" xfId="14822"/>
    <cellStyle name="检查单元格 6 2 2" xfId="14823"/>
    <cellStyle name="检查单元格 6 2 2 2" xfId="14824"/>
    <cellStyle name="检查单元格 6 3" xfId="14825"/>
    <cellStyle name="检查单元格 6 3 2" xfId="14826"/>
    <cellStyle name="检查单元格 6 4" xfId="14827"/>
    <cellStyle name="检查单元格 6 4 2" xfId="14828"/>
    <cellStyle name="检查单元格 6 5" xfId="14829"/>
    <cellStyle name="检查单元格 6 5 2" xfId="14830"/>
    <cellStyle name="检查单元格 7" xfId="14831"/>
    <cellStyle name="检查单元格 7 11" xfId="14832"/>
    <cellStyle name="检查单元格 7 12" xfId="14833"/>
    <cellStyle name="检查单元格 7 2" xfId="14834"/>
    <cellStyle name="检查单元格 7 2 2" xfId="14835"/>
    <cellStyle name="检查单元格 7 2 2 2" xfId="14836"/>
    <cellStyle name="检查单元格 7 3" xfId="14837"/>
    <cellStyle name="检查单元格 7 3 2" xfId="14838"/>
    <cellStyle name="检查单元格 7 4" xfId="14839"/>
    <cellStyle name="检查单元格 7 4 2" xfId="14840"/>
    <cellStyle name="检查单元格 7 5" xfId="14841"/>
    <cellStyle name="检查单元格 7 5 2" xfId="14842"/>
    <cellStyle name="注释 10 2 6" xfId="14843"/>
    <cellStyle name="检查单元格 8 10" xfId="14844"/>
    <cellStyle name="检查单元格 8 2 2 2" xfId="14845"/>
    <cellStyle name="检查单元格 8 2 4" xfId="14846"/>
    <cellStyle name="检查单元格 8 4" xfId="14847"/>
    <cellStyle name="检查单元格 8 5" xfId="14848"/>
    <cellStyle name="千位分隔 4 2 2" xfId="14849"/>
    <cellStyle name="检查单元格 9 10" xfId="14850"/>
    <cellStyle name="检查单元格 9 11" xfId="14851"/>
    <cellStyle name="检查单元格 9 12" xfId="14852"/>
    <cellStyle name="检查单元格 9 2 2" xfId="14853"/>
    <cellStyle name="检查单元格 9 2 2 2" xfId="14854"/>
    <cellStyle name="检查单元格 9 2 3" xfId="14855"/>
    <cellStyle name="检查单元格 9 2 4" xfId="14856"/>
    <cellStyle name="检查单元格 9 3" xfId="14857"/>
    <cellStyle name="检查单元格 9 3 2" xfId="14858"/>
    <cellStyle name="检查单元格 9 4" xfId="14859"/>
    <cellStyle name="检查单元格 9 4 2" xfId="14860"/>
    <cellStyle name="检查单元格 9 5" xfId="14861"/>
    <cellStyle name="千位分隔 4 3 2" xfId="14862"/>
    <cellStyle name="检查单元格 9 5 2" xfId="14863"/>
    <cellStyle name="千位分隔 4 3 2 2" xfId="14864"/>
    <cellStyle name="注释 12 2 6" xfId="14865"/>
    <cellStyle name="检查单元格 9 9" xfId="14866"/>
    <cellStyle name="解释性文本 10 2 2" xfId="14867"/>
    <cellStyle name="解释性文本 10 2 2 2" xfId="14868"/>
    <cellStyle name="解释性文本 10 2 3" xfId="14869"/>
    <cellStyle name="警告文本 5 3 2" xfId="14870"/>
    <cellStyle name="解释性文本 10 3" xfId="14871"/>
    <cellStyle name="解释性文本 10 3 2" xfId="14872"/>
    <cellStyle name="解释性文本 10 6" xfId="14873"/>
    <cellStyle name="输入 3 12" xfId="14874"/>
    <cellStyle name="解释性文本 10 7" xfId="14875"/>
    <cellStyle name="输入 3 13" xfId="14876"/>
    <cellStyle name="解释性文本 11" xfId="14877"/>
    <cellStyle name="解释性文本 11 2" xfId="14878"/>
    <cellStyle name="解释性文本 11 2 2" xfId="14879"/>
    <cellStyle name="解释性文本 11 2 2 2" xfId="14880"/>
    <cellStyle name="解释性文本 11 2 3" xfId="14881"/>
    <cellStyle name="警告文本 6 3 2" xfId="14882"/>
    <cellStyle name="解释性文本 11 2 4" xfId="14883"/>
    <cellStyle name="警告文本 6 3 3" xfId="14884"/>
    <cellStyle name="解释性文本 11 3 2" xfId="14885"/>
    <cellStyle name="解释性文本 11 6" xfId="14886"/>
    <cellStyle name="解释性文本 2 2 2 2" xfId="14887"/>
    <cellStyle name="解释性文本 11 7" xfId="14888"/>
    <cellStyle name="解释性文本 12 2" xfId="14889"/>
    <cellStyle name="解释性文本 12 2 2" xfId="14890"/>
    <cellStyle name="解释性文本 12 2 2 2" xfId="14891"/>
    <cellStyle name="解释性文本 12 2 3" xfId="14892"/>
    <cellStyle name="警告文本 7 3 2" xfId="14893"/>
    <cellStyle name="解释性文本 12 2 4" xfId="14894"/>
    <cellStyle name="警告文本 7 3 3" xfId="14895"/>
    <cellStyle name="解释性文本 12 3" xfId="14896"/>
    <cellStyle name="解释性文本 12 3 2" xfId="14897"/>
    <cellStyle name="解释性文本 12 4" xfId="14898"/>
    <cellStyle name="解释性文本 12 5" xfId="14899"/>
    <cellStyle name="解释性文本 12 6" xfId="14900"/>
    <cellStyle name="解释性文本 12 7" xfId="14901"/>
    <cellStyle name="解释性文本 13" xfId="14902"/>
    <cellStyle name="解释性文本 13 2" xfId="14903"/>
    <cellStyle name="输入 10 8" xfId="14904"/>
    <cellStyle name="解释性文本 13 2 2" xfId="14905"/>
    <cellStyle name="普通_ 白土" xfId="14906"/>
    <cellStyle name="解释性文本 13 2 2 2" xfId="14907"/>
    <cellStyle name="解释性文本 13 2 4" xfId="14908"/>
    <cellStyle name="警告文本 8 3 3" xfId="14909"/>
    <cellStyle name="解释性文本 13 3" xfId="14910"/>
    <cellStyle name="输入 10 9" xfId="14911"/>
    <cellStyle name="解释性文本 13 3 2" xfId="14912"/>
    <cellStyle name="解释性文本 13 4" xfId="14913"/>
    <cellStyle name="解释性文本 13 5" xfId="14914"/>
    <cellStyle name="解释性文本 13 6" xfId="14915"/>
    <cellStyle name="解释性文本 13 7" xfId="14916"/>
    <cellStyle name="解释性文本 14" xfId="14917"/>
    <cellStyle name="解释性文本 14 2" xfId="14918"/>
    <cellStyle name="输入 11 8" xfId="14919"/>
    <cellStyle name="解释性文本 14 2 2" xfId="14920"/>
    <cellStyle name="解释性文本 14 3" xfId="14921"/>
    <cellStyle name="输入 11 9" xfId="14922"/>
    <cellStyle name="解释性文本 15" xfId="14923"/>
    <cellStyle name="解释性文本 15 2" xfId="14924"/>
    <cellStyle name="输入 12 8" xfId="14925"/>
    <cellStyle name="解释性文本 16" xfId="14926"/>
    <cellStyle name="输入 12 2 3 2" xfId="14927"/>
    <cellStyle name="解释性文本 17" xfId="14928"/>
    <cellStyle name="解释性文本 2 2 2" xfId="14929"/>
    <cellStyle name="解释性文本 2 2 3" xfId="14930"/>
    <cellStyle name="解释性文本 2 2 4" xfId="14931"/>
    <cellStyle name="解释性文本 2 3" xfId="14932"/>
    <cellStyle name="解释性文本 2 3 2" xfId="14933"/>
    <cellStyle name="解释性文本 2 3 2 2" xfId="14934"/>
    <cellStyle name="解释性文本 2 3 3" xfId="14935"/>
    <cellStyle name="解释性文本 2 4" xfId="14936"/>
    <cellStyle name="解释性文本 2 4 2" xfId="14937"/>
    <cellStyle name="解释性文本 2 4 2 2" xfId="14938"/>
    <cellStyle name="解释性文本 2 4 3" xfId="14939"/>
    <cellStyle name="解释性文本 2 5" xfId="14940"/>
    <cellStyle name="解释性文本 2 5 2" xfId="14941"/>
    <cellStyle name="解释性文本 2 6" xfId="14942"/>
    <cellStyle name="解释性文本 2 7" xfId="14943"/>
    <cellStyle name="解释性文本 3 2" xfId="14944"/>
    <cellStyle name="解释性文本 3 2 2" xfId="14945"/>
    <cellStyle name="解释性文本 3 2 2 2" xfId="14946"/>
    <cellStyle name="解释性文本 3 2 3" xfId="14947"/>
    <cellStyle name="解释性文本 3 2 4" xfId="14948"/>
    <cellStyle name="解释性文本 3 3" xfId="14949"/>
    <cellStyle name="解释性文本 3 3 2" xfId="14950"/>
    <cellStyle name="解释性文本 3 4" xfId="14951"/>
    <cellStyle name="解释性文本 3 5" xfId="14952"/>
    <cellStyle name="解释性文本 3 6" xfId="14953"/>
    <cellStyle name="解释性文本 3 7" xfId="14954"/>
    <cellStyle name="解释性文本 4 2" xfId="14955"/>
    <cellStyle name="解释性文本 4 2 2" xfId="14956"/>
    <cellStyle name="解释性文本 4 2 3" xfId="14957"/>
    <cellStyle name="解释性文本 4 2 4" xfId="14958"/>
    <cellStyle name="解释性文本 4 3" xfId="14959"/>
    <cellStyle name="解释性文本 4 3 2" xfId="14960"/>
    <cellStyle name="解释性文本 4 4" xfId="14961"/>
    <cellStyle name="解释性文本 4 5" xfId="14962"/>
    <cellStyle name="解释性文本 4 6" xfId="14963"/>
    <cellStyle name="解释性文本 4 7" xfId="14964"/>
    <cellStyle name="解释性文本 5" xfId="14965"/>
    <cellStyle name="解释性文本 5 2" xfId="14966"/>
    <cellStyle name="解释性文本 5 2 2" xfId="14967"/>
    <cellStyle name="解释性文本 5 2 3" xfId="14968"/>
    <cellStyle name="解释性文本 5 2 4" xfId="14969"/>
    <cellStyle name="解释性文本 6" xfId="14970"/>
    <cellStyle name="解释性文本 6 2" xfId="14971"/>
    <cellStyle name="解释性文本 6 2 2" xfId="14972"/>
    <cellStyle name="解释性文本 6 2 2 2" xfId="14973"/>
    <cellStyle name="解释性文本 6 2 3" xfId="14974"/>
    <cellStyle name="解释性文本 6 2 4" xfId="14975"/>
    <cellStyle name="解释性文本 6 3" xfId="14976"/>
    <cellStyle name="强调文字颜色 6 5 2 2" xfId="14977"/>
    <cellStyle name="解释性文本 6 3 2" xfId="14978"/>
    <cellStyle name="强调文字颜色 6 5 2 2 2" xfId="14979"/>
    <cellStyle name="解释性文本 6 4" xfId="14980"/>
    <cellStyle name="强调文字颜色 6 5 2 3" xfId="14981"/>
    <cellStyle name="解释性文本 6 5" xfId="14982"/>
    <cellStyle name="强调文字颜色 6 5 2 4" xfId="14983"/>
    <cellStyle name="解释性文本 7" xfId="14984"/>
    <cellStyle name="解释性文本 7 2" xfId="14985"/>
    <cellStyle name="解释性文本 7 2 2" xfId="14986"/>
    <cellStyle name="解释性文本 7 2 2 2" xfId="14987"/>
    <cellStyle name="解释性文本 7 2 3" xfId="14988"/>
    <cellStyle name="解释性文本 7 2 4" xfId="14989"/>
    <cellStyle name="解释性文本 7 3" xfId="14990"/>
    <cellStyle name="强调文字颜色 6 5 3 2" xfId="14991"/>
    <cellStyle name="解释性文本 7 3 2" xfId="14992"/>
    <cellStyle name="强调文字颜色 6 5 3 2 2" xfId="14993"/>
    <cellStyle name="解释性文本 7 4" xfId="14994"/>
    <cellStyle name="强调文字颜色 6 5 3 3" xfId="14995"/>
    <cellStyle name="解释性文本 7 5" xfId="14996"/>
    <cellStyle name="解释性文本 8" xfId="14997"/>
    <cellStyle name="解释性文本 8 2 2" xfId="14998"/>
    <cellStyle name="解释性文本 8 2 2 2" xfId="14999"/>
    <cellStyle name="解释性文本 8 2 3" xfId="15000"/>
    <cellStyle name="警告文本 7 2" xfId="15001"/>
    <cellStyle name="解释性文本 8 2 4" xfId="15002"/>
    <cellStyle name="警告文本 7 3" xfId="15003"/>
    <cellStyle name="解释性文本 8 3" xfId="15004"/>
    <cellStyle name="强调文字颜色 6 5 4 2" xfId="15005"/>
    <cellStyle name="解释性文本 8 4" xfId="15006"/>
    <cellStyle name="解释性文本 8 5" xfId="15007"/>
    <cellStyle name="解释性文本 9" xfId="15008"/>
    <cellStyle name="解释性文本 9 2 2" xfId="15009"/>
    <cellStyle name="解释性文本 9 2 2 2" xfId="15010"/>
    <cellStyle name="解释性文本 9 2 3" xfId="15011"/>
    <cellStyle name="解释性文本 9 2 4" xfId="15012"/>
    <cellStyle name="解释性文本 9 3" xfId="15013"/>
    <cellStyle name="强调文字颜色 6 5 5 2" xfId="15014"/>
    <cellStyle name="解释性文本 9 3 2" xfId="15015"/>
    <cellStyle name="解释性文本 9 4" xfId="15016"/>
    <cellStyle name="解释性文本 9 5" xfId="15017"/>
    <cellStyle name="借出原因" xfId="15018"/>
    <cellStyle name="借出原因 2" xfId="15019"/>
    <cellStyle name="借出原因 2 2" xfId="15020"/>
    <cellStyle name="输入 2 6" xfId="15021"/>
    <cellStyle name="借出原因 3" xfId="15022"/>
    <cellStyle name="借出原因 3 2" xfId="15023"/>
    <cellStyle name="输入 3 6" xfId="15024"/>
    <cellStyle name="借出原因 3 2 2" xfId="15025"/>
    <cellStyle name="输入 3 6 2" xfId="15026"/>
    <cellStyle name="借出原因 4" xfId="15027"/>
    <cellStyle name="借出原因 4 2" xfId="15028"/>
    <cellStyle name="输入 4 6" xfId="15029"/>
    <cellStyle name="借出原因 4 2 2" xfId="15030"/>
    <cellStyle name="输入 4 6 2" xfId="15031"/>
    <cellStyle name="借出原因 5" xfId="15032"/>
    <cellStyle name="借出原因 5 2" xfId="15033"/>
    <cellStyle name="输入 5 6" xfId="15034"/>
    <cellStyle name="借出原因 6" xfId="15035"/>
    <cellStyle name="借出原因 6 2" xfId="15036"/>
    <cellStyle name="输入 5 2 5" xfId="15037"/>
    <cellStyle name="输入 6 6" xfId="15038"/>
    <cellStyle name="借出原因 7" xfId="15039"/>
    <cellStyle name="借出原因 7 2" xfId="15040"/>
    <cellStyle name="输入 5 3 5" xfId="15041"/>
    <cellStyle name="输入 7 6" xfId="15042"/>
    <cellStyle name="注释 7" xfId="15043"/>
    <cellStyle name="借出原因 7 2 2" xfId="15044"/>
    <cellStyle name="输入 7 6 2" xfId="15045"/>
    <cellStyle name="注释 7 2" xfId="15046"/>
    <cellStyle name="借出原因 8" xfId="15047"/>
    <cellStyle name="借出原因 9" xfId="15048"/>
    <cellStyle name="警告文本 10 2 2" xfId="15049"/>
    <cellStyle name="警告文本 10 2 3" xfId="15050"/>
    <cellStyle name="警告文本 10 2 4" xfId="15051"/>
    <cellStyle name="警告文本 10 3" xfId="15052"/>
    <cellStyle name="警告文本 10 3 2" xfId="15053"/>
    <cellStyle name="警告文本 10 3 3" xfId="15054"/>
    <cellStyle name="警告文本 10 4" xfId="15055"/>
    <cellStyle name="警告文本 10 4 2" xfId="15056"/>
    <cellStyle name="警告文本 10 5" xfId="15057"/>
    <cellStyle name="警告文本 10 6" xfId="15058"/>
    <cellStyle name="警告文本 10 7" xfId="15059"/>
    <cellStyle name="警告文本 10 8" xfId="15060"/>
    <cellStyle name="强调文字颜色 5 5 10" xfId="15061"/>
    <cellStyle name="警告文本 11" xfId="15062"/>
    <cellStyle name="警告文本 11 2" xfId="15063"/>
    <cellStyle name="输出 9 14" xfId="15064"/>
    <cellStyle name="警告文本 11 2 2" xfId="15065"/>
    <cellStyle name="输出 9 14 2" xfId="15066"/>
    <cellStyle name="警告文本 11 2 3" xfId="15067"/>
    <cellStyle name="警告文本 11 2 4" xfId="15068"/>
    <cellStyle name="警告文本 11 3" xfId="15069"/>
    <cellStyle name="输出 9 15" xfId="15070"/>
    <cellStyle name="警告文本 11 3 2" xfId="15071"/>
    <cellStyle name="输出 9 15 2" xfId="15072"/>
    <cellStyle name="警告文本 11 3 2 2" xfId="15073"/>
    <cellStyle name="警告文本 11 3 3" xfId="15074"/>
    <cellStyle name="警告文本 11 4" xfId="15075"/>
    <cellStyle name="输出 9 16" xfId="15076"/>
    <cellStyle name="警告文本 11 4 2" xfId="15077"/>
    <cellStyle name="警告文本 11 5" xfId="15078"/>
    <cellStyle name="输出 9 17" xfId="15079"/>
    <cellStyle name="警告文本 11 6" xfId="15080"/>
    <cellStyle name="输出 9 18" xfId="15081"/>
    <cellStyle name="警告文本 11 7" xfId="15082"/>
    <cellStyle name="警告文本 11 8" xfId="15083"/>
    <cellStyle name="警告文本 12" xfId="15084"/>
    <cellStyle name="警告文本 12 2" xfId="15085"/>
    <cellStyle name="警告文本 12 2 2" xfId="15086"/>
    <cellStyle name="警告文本 12 2 2 2" xfId="15087"/>
    <cellStyle name="警告文本 12 2 3" xfId="15088"/>
    <cellStyle name="警告文本 12 2 4" xfId="15089"/>
    <cellStyle name="警告文本 12 3" xfId="15090"/>
    <cellStyle name="警告文本 12 3 2" xfId="15091"/>
    <cellStyle name="警告文本 12 3 3" xfId="15092"/>
    <cellStyle name="警告文本 12 4" xfId="15093"/>
    <cellStyle name="警告文本 12 4 2" xfId="15094"/>
    <cellStyle name="输出 2 2 3" xfId="15095"/>
    <cellStyle name="警告文本 12 5" xfId="15096"/>
    <cellStyle name="警告文本 12 6" xfId="15097"/>
    <cellStyle name="警告文本 12 7" xfId="15098"/>
    <cellStyle name="警告文本 12 8" xfId="15099"/>
    <cellStyle name="警告文本 13" xfId="15100"/>
    <cellStyle name="警告文本 13 2" xfId="15101"/>
    <cellStyle name="警告文本 13 2 2" xfId="15102"/>
    <cellStyle name="警告文本 13 2 2 2" xfId="15103"/>
    <cellStyle name="警告文本 13 2 3" xfId="15104"/>
    <cellStyle name="警告文本 13 3" xfId="15105"/>
    <cellStyle name="警告文本 13 3 2" xfId="15106"/>
    <cellStyle name="警告文本 13 3 2 2" xfId="15107"/>
    <cellStyle name="警告文本 13 3 3" xfId="15108"/>
    <cellStyle name="警告文本 13 4" xfId="15109"/>
    <cellStyle name="警告文本 13 4 2" xfId="15110"/>
    <cellStyle name="输出 3 2 3" xfId="15111"/>
    <cellStyle name="警告文本 13 5" xfId="15112"/>
    <cellStyle name="警告文本 13 6" xfId="15113"/>
    <cellStyle name="警告文本 13 7" xfId="15114"/>
    <cellStyle name="警告文本 14" xfId="15115"/>
    <cellStyle name="警告文本 14 2" xfId="15116"/>
    <cellStyle name="警告文本 14 2 2" xfId="15117"/>
    <cellStyle name="警告文本 14 3" xfId="15118"/>
    <cellStyle name="警告文本 15" xfId="15119"/>
    <cellStyle name="警告文本 15 2" xfId="15120"/>
    <cellStyle name="警告文本 16" xfId="15121"/>
    <cellStyle name="警告文本 17" xfId="15122"/>
    <cellStyle name="警告文本 2" xfId="15123"/>
    <cellStyle name="注释 13 5 2" xfId="15124"/>
    <cellStyle name="警告文本 2 2 2" xfId="15125"/>
    <cellStyle name="警告文本 2 2 2 2 2" xfId="15126"/>
    <cellStyle name="警告文本 2 2 2 2 3" xfId="15127"/>
    <cellStyle name="警告文本 2 2 3" xfId="15128"/>
    <cellStyle name="警告文本 2 2 3 2" xfId="15129"/>
    <cellStyle name="警告文本 2 2 4" xfId="15130"/>
    <cellStyle name="警告文本 2 3 2" xfId="15131"/>
    <cellStyle name="警告文本 2 3 2 2" xfId="15132"/>
    <cellStyle name="警告文本 2 3 3" xfId="15133"/>
    <cellStyle name="警告文本 2 4" xfId="15134"/>
    <cellStyle name="警告文本 2 4 2" xfId="15135"/>
    <cellStyle name="警告文本 2 4 2 2" xfId="15136"/>
    <cellStyle name="警告文本 2 4 3" xfId="15137"/>
    <cellStyle name="警告文本 2 5" xfId="15138"/>
    <cellStyle name="警告文本 2 5 2" xfId="15139"/>
    <cellStyle name="警告文本 2 6" xfId="15140"/>
    <cellStyle name="警告文本 2 7" xfId="15141"/>
    <cellStyle name="警告文本 2 8" xfId="15142"/>
    <cellStyle name="警告文本 2 9" xfId="15143"/>
    <cellStyle name="警告文本 3" xfId="15144"/>
    <cellStyle name="注释 13 5 3" xfId="15145"/>
    <cellStyle name="警告文本 3 2" xfId="15146"/>
    <cellStyle name="警告文本 3 2 2" xfId="15147"/>
    <cellStyle name="警告文本 3 2 3" xfId="15148"/>
    <cellStyle name="警告文本 3 2 4" xfId="15149"/>
    <cellStyle name="警告文本 3 3" xfId="15150"/>
    <cellStyle name="警告文本 3 3 2" xfId="15151"/>
    <cellStyle name="警告文本 3 3 3" xfId="15152"/>
    <cellStyle name="警告文本 3 4" xfId="15153"/>
    <cellStyle name="警告文本 3 4 2" xfId="15154"/>
    <cellStyle name="警告文本 3 5" xfId="15155"/>
    <cellStyle name="警告文本 3 6" xfId="15156"/>
    <cellStyle name="警告文本 3 7" xfId="15157"/>
    <cellStyle name="警告文本 3 8" xfId="15158"/>
    <cellStyle name="警告文本 4" xfId="15159"/>
    <cellStyle name="注释 13 5 4" xfId="15160"/>
    <cellStyle name="警告文本 4 2" xfId="15161"/>
    <cellStyle name="警告文本 4 2 2" xfId="15162"/>
    <cellStyle name="警告文本 4 2 3" xfId="15163"/>
    <cellStyle name="警告文本 4 3" xfId="15164"/>
    <cellStyle name="警告文本 4 3 2" xfId="15165"/>
    <cellStyle name="警告文本 4 3 2 2" xfId="15166"/>
    <cellStyle name="警告文本 4 4" xfId="15167"/>
    <cellStyle name="警告文本 4 4 2" xfId="15168"/>
    <cellStyle name="警告文本 4 6" xfId="15169"/>
    <cellStyle name="警告文本 4 7" xfId="15170"/>
    <cellStyle name="警告文本 4 8" xfId="15171"/>
    <cellStyle name="警告文本 5" xfId="15172"/>
    <cellStyle name="注释 13 5 5" xfId="15173"/>
    <cellStyle name="警告文本 5 2" xfId="15174"/>
    <cellStyle name="警告文本 5 2 2" xfId="15175"/>
    <cellStyle name="警告文本 5 2 3" xfId="15176"/>
    <cellStyle name="警告文本 5 3" xfId="15177"/>
    <cellStyle name="警告文本 5 3 2 2" xfId="15178"/>
    <cellStyle name="警告文本 5 4" xfId="15179"/>
    <cellStyle name="警告文本 5 4 2" xfId="15180"/>
    <cellStyle name="警告文本 5 5" xfId="15181"/>
    <cellStyle name="警告文本 5 8" xfId="15182"/>
    <cellStyle name="警告文本 6" xfId="15183"/>
    <cellStyle name="警告文本 6 2" xfId="15184"/>
    <cellStyle name="警告文本 6 2 2" xfId="15185"/>
    <cellStyle name="警告文本 6 2 2 2" xfId="15186"/>
    <cellStyle name="警告文本 6 2 3" xfId="15187"/>
    <cellStyle name="警告文本 6 3 2 2" xfId="15188"/>
    <cellStyle name="警告文本 6 4 2" xfId="15189"/>
    <cellStyle name="警告文本 6 7" xfId="15190"/>
    <cellStyle name="警告文本 6 8" xfId="15191"/>
    <cellStyle name="警告文本 7" xfId="15192"/>
    <cellStyle name="警告文本 7 2 2" xfId="15193"/>
    <cellStyle name="警告文本 7 2 2 2" xfId="15194"/>
    <cellStyle name="警告文本 7 2 3" xfId="15195"/>
    <cellStyle name="警告文本 7 3 2 2" xfId="15196"/>
    <cellStyle name="警告文本 7 4" xfId="15197"/>
    <cellStyle name="警告文本 7 4 2" xfId="15198"/>
    <cellStyle name="警告文本 7 5" xfId="15199"/>
    <cellStyle name="警告文本 7 6" xfId="15200"/>
    <cellStyle name="警告文本 7 7" xfId="15201"/>
    <cellStyle name="警告文本 7 8" xfId="15202"/>
    <cellStyle name="警告文本 8 2 4" xfId="15203"/>
    <cellStyle name="千位分隔 8 3 2 2" xfId="15204"/>
    <cellStyle name="警告文本 8 3 2 2" xfId="15205"/>
    <cellStyle name="警告文本 8 4" xfId="15206"/>
    <cellStyle name="警告文本 8 4 2" xfId="15207"/>
    <cellStyle name="警告文本 8 5" xfId="15208"/>
    <cellStyle name="警告文本 8 6" xfId="15209"/>
    <cellStyle name="警告文本 8 7" xfId="15210"/>
    <cellStyle name="警告文本 8 8" xfId="15211"/>
    <cellStyle name="警告文本 9" xfId="15212"/>
    <cellStyle name="警告文本 9 2" xfId="15213"/>
    <cellStyle name="警告文本 9 2 2" xfId="15214"/>
    <cellStyle name="警告文本 9 2 2 2" xfId="15215"/>
    <cellStyle name="警告文本 9 2 3" xfId="15216"/>
    <cellStyle name="警告文本 9 2 4" xfId="15217"/>
    <cellStyle name="警告文本 9 3" xfId="15218"/>
    <cellStyle name="警告文本 9 3 2" xfId="15219"/>
    <cellStyle name="警告文本 9 3 2 2" xfId="15220"/>
    <cellStyle name="警告文本 9 4" xfId="15221"/>
    <cellStyle name="警告文本 9 4 2" xfId="15222"/>
    <cellStyle name="警告文本 9 5" xfId="15223"/>
    <cellStyle name="警告文本 9 6" xfId="15224"/>
    <cellStyle name="警告文本 9 7" xfId="15225"/>
    <cellStyle name="警告文本 9 8" xfId="15226"/>
    <cellStyle name="链接单元格 10" xfId="15227"/>
    <cellStyle name="链接单元格 10 2" xfId="15228"/>
    <cellStyle name="链接单元格 10 2 2" xfId="15229"/>
    <cellStyle name="链接单元格 10 2 2 2" xfId="15230"/>
    <cellStyle name="链接单元格 10 2 3" xfId="15231"/>
    <cellStyle name="链接单元格 10 2 4" xfId="15232"/>
    <cellStyle name="链接单元格 10 3" xfId="15233"/>
    <cellStyle name="链接单元格 10 3 2" xfId="15234"/>
    <cellStyle name="链接单元格 10 4" xfId="15235"/>
    <cellStyle name="链接单元格 10 5" xfId="15236"/>
    <cellStyle name="链接单元格 10 6" xfId="15237"/>
    <cellStyle name="链接单元格 11 2 4" xfId="15238"/>
    <cellStyle name="链接单元格 12 2 4" xfId="15239"/>
    <cellStyle name="链接单元格 12 5" xfId="15240"/>
    <cellStyle name="链接单元格 12 7" xfId="15241"/>
    <cellStyle name="链接单元格 13 2 2 2" xfId="15242"/>
    <cellStyle name="链接单元格 13 2 3" xfId="15243"/>
    <cellStyle name="链接单元格 13 2 4" xfId="15244"/>
    <cellStyle name="链接单元格 13 3 2" xfId="15245"/>
    <cellStyle name="链接单元格 13 4" xfId="15246"/>
    <cellStyle name="链接单元格 13 5" xfId="15247"/>
    <cellStyle name="链接单元格 13 6" xfId="15248"/>
    <cellStyle name="链接单元格 13 7" xfId="15249"/>
    <cellStyle name="链接单元格 14 2 2" xfId="15250"/>
    <cellStyle name="链接单元格 14 3" xfId="15251"/>
    <cellStyle name="链接单元格 2 2" xfId="15252"/>
    <cellStyle name="链接单元格 2 2 2" xfId="15253"/>
    <cellStyle name="链接单元格 2 2 2 2" xfId="15254"/>
    <cellStyle name="链接单元格 2 2 3" xfId="15255"/>
    <cellStyle name="链接单元格 2 2 4" xfId="15256"/>
    <cellStyle name="链接单元格 2 3" xfId="15257"/>
    <cellStyle name="链接单元格 2 3 2" xfId="15258"/>
    <cellStyle name="链接单元格 2 3 2 2" xfId="15259"/>
    <cellStyle name="链接单元格 2 3 3" xfId="15260"/>
    <cellStyle name="链接单元格 2 4" xfId="15261"/>
    <cellStyle name="链接单元格 2 4 2" xfId="15262"/>
    <cellStyle name="链接单元格 2 4 3" xfId="15263"/>
    <cellStyle name="链接单元格 2 5" xfId="15264"/>
    <cellStyle name="链接单元格 2 5 2" xfId="15265"/>
    <cellStyle name="链接单元格 2 6" xfId="15266"/>
    <cellStyle name="链接单元格 3 2" xfId="15267"/>
    <cellStyle name="链接单元格 3 2 2" xfId="15268"/>
    <cellStyle name="链接单元格 3 2 2 2" xfId="15269"/>
    <cellStyle name="链接单元格 3 2 3" xfId="15270"/>
    <cellStyle name="链接单元格 3 2 4" xfId="15271"/>
    <cellStyle name="链接单元格 3 3" xfId="15272"/>
    <cellStyle name="链接单元格 3 3 2" xfId="15273"/>
    <cellStyle name="链接单元格 3 4" xfId="15274"/>
    <cellStyle name="链接单元格 3 5" xfId="15275"/>
    <cellStyle name="链接单元格 3 7" xfId="15276"/>
    <cellStyle name="链接单元格 4" xfId="15277"/>
    <cellStyle name="链接单元格 4 2" xfId="15278"/>
    <cellStyle name="链接单元格 4 2 2" xfId="15279"/>
    <cellStyle name="链接单元格 4 2 2 2" xfId="15280"/>
    <cellStyle name="链接单元格 4 2 3" xfId="15281"/>
    <cellStyle name="链接单元格 4 2 4" xfId="15282"/>
    <cellStyle name="千分位_ 白土" xfId="15283"/>
    <cellStyle name="链接单元格 4 3" xfId="15284"/>
    <cellStyle name="链接单元格 4 3 2" xfId="15285"/>
    <cellStyle name="链接单元格 4 4" xfId="15286"/>
    <cellStyle name="链接单元格 5" xfId="15287"/>
    <cellStyle name="链接单元格 5 2 2" xfId="15288"/>
    <cellStyle name="链接单元格 5 2 2 2" xfId="15289"/>
    <cellStyle name="链接单元格 5 2 3" xfId="15290"/>
    <cellStyle name="链接单元格 5 2 4" xfId="15291"/>
    <cellStyle name="链接单元格 5 3 2" xfId="15292"/>
    <cellStyle name="链接单元格 5 5" xfId="15293"/>
    <cellStyle name="链接单元格 6" xfId="15294"/>
    <cellStyle name="链接单元格 6 2" xfId="15295"/>
    <cellStyle name="链接单元格 6 2 2" xfId="15296"/>
    <cellStyle name="链接单元格 6 2 3" xfId="15297"/>
    <cellStyle name="链接单元格 6 3" xfId="15298"/>
    <cellStyle name="链接单元格 6 3 2" xfId="15299"/>
    <cellStyle name="链接单元格 6 4" xfId="15300"/>
    <cellStyle name="链接单元格 6 5" xfId="15301"/>
    <cellStyle name="链接单元格 7" xfId="15302"/>
    <cellStyle name="输出 4 7 2" xfId="15303"/>
    <cellStyle name="链接单元格 7 2" xfId="15304"/>
    <cellStyle name="链接单元格 7 2 2" xfId="15305"/>
    <cellStyle name="链接单元格 7 2 2 2" xfId="15306"/>
    <cellStyle name="链接单元格 7 2 3" xfId="15307"/>
    <cellStyle name="链接单元格 7 2 4" xfId="15308"/>
    <cellStyle name="链接单元格 7 3" xfId="15309"/>
    <cellStyle name="链接单元格 7 3 2" xfId="15310"/>
    <cellStyle name="链接单元格 7 4" xfId="15311"/>
    <cellStyle name="链接单元格 7 5" xfId="15312"/>
    <cellStyle name="链接单元格 8" xfId="15313"/>
    <cellStyle name="链接单元格 8 2" xfId="15314"/>
    <cellStyle name="链接单元格 8 2 2" xfId="15315"/>
    <cellStyle name="链接单元格 8 2 3" xfId="15316"/>
    <cellStyle name="链接单元格 8 2 4" xfId="15317"/>
    <cellStyle name="链接单元格 8 3" xfId="15318"/>
    <cellStyle name="链接单元格 8 3 2" xfId="15319"/>
    <cellStyle name="链接单元格 8 4" xfId="15320"/>
    <cellStyle name="链接单元格 8 5" xfId="15321"/>
    <cellStyle name="链接单元格 8 7" xfId="15322"/>
    <cellStyle name="链接单元格 9 2 2" xfId="15323"/>
    <cellStyle name="链接单元格 9 2 3" xfId="15324"/>
    <cellStyle name="链接单元格 9 2 4" xfId="15325"/>
    <cellStyle name="链接单元格 9 3" xfId="15326"/>
    <cellStyle name="链接单元格 9 3 2" xfId="15327"/>
    <cellStyle name="链接单元格 9 4" xfId="15328"/>
    <cellStyle name="霓付 [0]_1202" xfId="15329"/>
    <cellStyle name="霓付_1202" xfId="15330"/>
    <cellStyle name="千分位[0]_ 白土" xfId="15331"/>
    <cellStyle name="强调文字颜色 4 13 13" xfId="15332"/>
    <cellStyle name="千位[0]_ 方正PC" xfId="15333"/>
    <cellStyle name="千位_ 方正PC" xfId="15334"/>
    <cellStyle name="千位分隔 10" xfId="15335"/>
    <cellStyle name="强调文字颜色 4 2 6 2" xfId="15336"/>
    <cellStyle name="千位分隔 10 2" xfId="15337"/>
    <cellStyle name="千位分隔 10 2 2" xfId="15338"/>
    <cellStyle name="千位分隔 10 2 2 2" xfId="15339"/>
    <cellStyle name="千位分隔 10 2 3" xfId="15340"/>
    <cellStyle name="千位分隔 10 3" xfId="15341"/>
    <cellStyle name="千位分隔 10 3 2" xfId="15342"/>
    <cellStyle name="千位分隔 10 3 2 2" xfId="15343"/>
    <cellStyle name="千位分隔 10 3 3" xfId="15344"/>
    <cellStyle name="千位分隔 11" xfId="15345"/>
    <cellStyle name="千位分隔 11 2" xfId="15346"/>
    <cellStyle name="千位分隔 11 2 2" xfId="15347"/>
    <cellStyle name="千位分隔 11 2 2 2" xfId="15348"/>
    <cellStyle name="千位分隔 11 2 3" xfId="15349"/>
    <cellStyle name="千位分隔 11 2 3 2" xfId="15350"/>
    <cellStyle name="千位分隔 11 2 4" xfId="15351"/>
    <cellStyle name="千位分隔 11 2 5" xfId="15352"/>
    <cellStyle name="千位分隔 11 3" xfId="15353"/>
    <cellStyle name="千位分隔 11 3 2" xfId="15354"/>
    <cellStyle name="千位分隔 11 3 2 2" xfId="15355"/>
    <cellStyle name="千位分隔 11 3 3" xfId="15356"/>
    <cellStyle name="千位分隔 11 4 2" xfId="15357"/>
    <cellStyle name="千位分隔 11 5" xfId="15358"/>
    <cellStyle name="千位分隔 11 7" xfId="15359"/>
    <cellStyle name="千位分隔 12" xfId="15360"/>
    <cellStyle name="千位分隔 12 2" xfId="15361"/>
    <cellStyle name="千位分隔 12 2 2" xfId="15362"/>
    <cellStyle name="千位分隔 12 2 2 2" xfId="15363"/>
    <cellStyle name="千位分隔 12 2 3" xfId="15364"/>
    <cellStyle name="千位分隔 12 2 3 2" xfId="15365"/>
    <cellStyle name="千位分隔 12 2 4" xfId="15366"/>
    <cellStyle name="千位分隔 12 2 5" xfId="15367"/>
    <cellStyle name="千位分隔 12 3" xfId="15368"/>
    <cellStyle name="千位分隔 12 3 2" xfId="15369"/>
    <cellStyle name="千位分隔 12 3 2 2" xfId="15370"/>
    <cellStyle name="千位分隔 12 3 3" xfId="15371"/>
    <cellStyle name="千位分隔 12 4" xfId="15372"/>
    <cellStyle name="千位分隔 12 4 2" xfId="15373"/>
    <cellStyle name="千位分隔 12 5" xfId="15374"/>
    <cellStyle name="千位分隔 12 5 2" xfId="15375"/>
    <cellStyle name="千位分隔 12 6" xfId="15376"/>
    <cellStyle name="千位分隔 12 6 2" xfId="15377"/>
    <cellStyle name="千位分隔 12 7" xfId="15378"/>
    <cellStyle name="千位分隔 12 8" xfId="15379"/>
    <cellStyle name="千位分隔 13 2" xfId="15380"/>
    <cellStyle name="千位分隔 13 2 2" xfId="15381"/>
    <cellStyle name="千位分隔 13 3" xfId="15382"/>
    <cellStyle name="千位分隔 13 3 2" xfId="15383"/>
    <cellStyle name="千位分隔 13 4" xfId="15384"/>
    <cellStyle name="千位分隔 13 5" xfId="15385"/>
    <cellStyle name="千位分隔 14" xfId="15386"/>
    <cellStyle name="千位分隔 14 2" xfId="15387"/>
    <cellStyle name="千位分隔 14 2 2" xfId="15388"/>
    <cellStyle name="千位分隔 14 2 2 2" xfId="15389"/>
    <cellStyle name="千位分隔 14 2 3" xfId="15390"/>
    <cellStyle name="千位分隔 14 3" xfId="15391"/>
    <cellStyle name="千位分隔 14 3 2" xfId="15392"/>
    <cellStyle name="千位分隔 14 4" xfId="15393"/>
    <cellStyle name="千位分隔 14 4 2" xfId="15394"/>
    <cellStyle name="千位分隔 14 5" xfId="15395"/>
    <cellStyle name="千位分隔 14 6" xfId="15396"/>
    <cellStyle name="千位分隔 14 7" xfId="15397"/>
    <cellStyle name="千位分隔 15" xfId="15398"/>
    <cellStyle name="千位分隔 20" xfId="15399"/>
    <cellStyle name="千位分隔 15 2" xfId="15400"/>
    <cellStyle name="千位分隔 20 2" xfId="15401"/>
    <cellStyle name="千位分隔 15 2 2" xfId="15402"/>
    <cellStyle name="千位分隔 15 2 2 2" xfId="15403"/>
    <cellStyle name="千位分隔 15 2 3" xfId="15404"/>
    <cellStyle name="千位分隔 15 3" xfId="15405"/>
    <cellStyle name="千位分隔 15 3 2" xfId="15406"/>
    <cellStyle name="千位分隔 15 3 2 2" xfId="15407"/>
    <cellStyle name="千位分隔 15 4" xfId="15408"/>
    <cellStyle name="千位分隔 15 4 2" xfId="15409"/>
    <cellStyle name="千位分隔 15 5" xfId="15410"/>
    <cellStyle name="千位分隔 15 6" xfId="15411"/>
    <cellStyle name="千位分隔 15 7" xfId="15412"/>
    <cellStyle name="千位分隔 16" xfId="15413"/>
    <cellStyle name="千位分隔 21" xfId="15414"/>
    <cellStyle name="千位分隔 16 2" xfId="15415"/>
    <cellStyle name="千位分隔 21 2" xfId="15416"/>
    <cellStyle name="千位分隔 16 2 2" xfId="15417"/>
    <cellStyle name="千位分隔 16 2 2 2" xfId="15418"/>
    <cellStyle name="千位分隔 16 2 3" xfId="15419"/>
    <cellStyle name="千位分隔 16 3" xfId="15420"/>
    <cellStyle name="千位分隔 16 3 2" xfId="15421"/>
    <cellStyle name="千位分隔 16 3 2 2" xfId="15422"/>
    <cellStyle name="千位分隔 16 3 3" xfId="15423"/>
    <cellStyle name="输出 11 2 2" xfId="15424"/>
    <cellStyle name="千位分隔 16 4" xfId="15425"/>
    <cellStyle name="千位分隔 16 4 2" xfId="15426"/>
    <cellStyle name="千位分隔 16 5" xfId="15427"/>
    <cellStyle name="千位分隔 16 6" xfId="15428"/>
    <cellStyle name="千位分隔 16 7" xfId="15429"/>
    <cellStyle name="千位分隔 17" xfId="15430"/>
    <cellStyle name="千位分隔 22" xfId="15431"/>
    <cellStyle name="千位分隔 17 2 3" xfId="15432"/>
    <cellStyle name="千位分隔 17 3" xfId="15433"/>
    <cellStyle name="千位分隔 17 3 2" xfId="15434"/>
    <cellStyle name="千位分隔 17 3 3" xfId="15435"/>
    <cellStyle name="输出 12 2 2" xfId="15436"/>
    <cellStyle name="千位分隔 17 4" xfId="15437"/>
    <cellStyle name="输出 4 5 2 2" xfId="15438"/>
    <cellStyle name="千位分隔 17 4 2" xfId="15439"/>
    <cellStyle name="千位分隔 17 5" xfId="15440"/>
    <cellStyle name="千位分隔 17 6" xfId="15441"/>
    <cellStyle name="千位分隔 17 7" xfId="15442"/>
    <cellStyle name="千位分隔 18" xfId="15443"/>
    <cellStyle name="千位分隔 23" xfId="15444"/>
    <cellStyle name="千位分隔 19" xfId="15445"/>
    <cellStyle name="千位分隔 24" xfId="15446"/>
    <cellStyle name="千位分隔 19 2" xfId="15447"/>
    <cellStyle name="千位分隔 2" xfId="15448"/>
    <cellStyle name="千位分隔 2 10" xfId="15449"/>
    <cellStyle name="千位分隔 2 10 2" xfId="15450"/>
    <cellStyle name="千位分隔 2 11" xfId="15451"/>
    <cellStyle name="千位分隔 2 12" xfId="15452"/>
    <cellStyle name="千位分隔 2 13" xfId="15453"/>
    <cellStyle name="千位分隔 2 14" xfId="15454"/>
    <cellStyle name="强调文字颜色 3 7 2" xfId="15455"/>
    <cellStyle name="千位分隔 2 2" xfId="15456"/>
    <cellStyle name="千位分隔 2 2 11" xfId="15457"/>
    <cellStyle name="千位分隔 2 2 12" xfId="15458"/>
    <cellStyle name="千位分隔 2 2 13" xfId="15459"/>
    <cellStyle name="千位分隔 2 2 14" xfId="15460"/>
    <cellStyle name="千位分隔 2 2 18" xfId="15461"/>
    <cellStyle name="千位分隔 2 2 19" xfId="15462"/>
    <cellStyle name="千位分隔 2 2 2" xfId="15463"/>
    <cellStyle name="千位分隔 2 2 2 2" xfId="15464"/>
    <cellStyle name="千位分隔 2 2 2 2 2" xfId="15465"/>
    <cellStyle name="千位分隔 2 2 2 2 2 2" xfId="15466"/>
    <cellStyle name="千位分隔 2 2 2 2 2 2 2" xfId="15467"/>
    <cellStyle name="千位分隔 2 2 2 2 2 2 2 2" xfId="15468"/>
    <cellStyle name="强调文字颜色 1 7 9" xfId="15469"/>
    <cellStyle name="千位分隔 2 2 2 2 2 2 3" xfId="15470"/>
    <cellStyle name="千位分隔 2 2 2 2 2 3" xfId="15471"/>
    <cellStyle name="千位分隔 2 2 2 2 2 3 2" xfId="15472"/>
    <cellStyle name="千位分隔 2 2 2 2 3" xfId="15473"/>
    <cellStyle name="千位分隔 2 2 2 2 4" xfId="15474"/>
    <cellStyle name="千位分隔 2 2 2 2 4 2" xfId="15475"/>
    <cellStyle name="千位分隔 2 2 2 2 5" xfId="15476"/>
    <cellStyle name="千位分隔 2 2 2 2 6" xfId="15477"/>
    <cellStyle name="千位分隔 2 2 2 3" xfId="15478"/>
    <cellStyle name="千位分隔 2 2 2 3 2" xfId="15479"/>
    <cellStyle name="千位分隔 2 2 2 3 3" xfId="15480"/>
    <cellStyle name="千位分隔 2 2 2 4" xfId="15481"/>
    <cellStyle name="千位分隔 2 2 2 4 2" xfId="15482"/>
    <cellStyle name="千位分隔 2 2 2 5" xfId="15483"/>
    <cellStyle name="千位分隔 2 2 2 5 2" xfId="15484"/>
    <cellStyle name="千位分隔 2 2 2 6" xfId="15485"/>
    <cellStyle name="千位分隔 2 2 3 5" xfId="15486"/>
    <cellStyle name="千位分隔 2 2 4 2 2" xfId="15487"/>
    <cellStyle name="强调文字颜色 3 2" xfId="15488"/>
    <cellStyle name="千位分隔 2 2 5 2 2" xfId="15489"/>
    <cellStyle name="千位分隔 2 3" xfId="15490"/>
    <cellStyle name="千位分隔 2 3 10" xfId="15491"/>
    <cellStyle name="千位分隔 2 3 14" xfId="15492"/>
    <cellStyle name="千位分隔 2 3 2" xfId="15493"/>
    <cellStyle name="千位分隔 2 3 2 2" xfId="15494"/>
    <cellStyle name="千位分隔 2 3 2 2 2" xfId="15495"/>
    <cellStyle name="千位分隔 2 3 2 3" xfId="15496"/>
    <cellStyle name="千位分隔 2 3 2 4" xfId="15497"/>
    <cellStyle name="千位分隔 2 4" xfId="15498"/>
    <cellStyle name="千位分隔 2 4 10" xfId="15499"/>
    <cellStyle name="千位分隔 2 4 11" xfId="15500"/>
    <cellStyle name="千位分隔 2 4 13" xfId="15501"/>
    <cellStyle name="千位分隔 2 4 2" xfId="15502"/>
    <cellStyle name="千位分隔 2 5" xfId="15503"/>
    <cellStyle name="千位分隔 2 5 2" xfId="15504"/>
    <cellStyle name="千位分隔 2 5 5" xfId="15505"/>
    <cellStyle name="千位分隔 2 6 4" xfId="15506"/>
    <cellStyle name="千位分隔 2 6 5" xfId="15507"/>
    <cellStyle name="千位分隔 2 7 3" xfId="15508"/>
    <cellStyle name="千位分隔 2 7 4" xfId="15509"/>
    <cellStyle name="千位分隔 2 8 2" xfId="15510"/>
    <cellStyle name="千位分隔 2 8 3" xfId="15511"/>
    <cellStyle name="千位分隔 2 9" xfId="15512"/>
    <cellStyle name="千位分隔 3" xfId="15513"/>
    <cellStyle name="千位分隔 3 10" xfId="15514"/>
    <cellStyle name="千位分隔 3 10 2" xfId="15515"/>
    <cellStyle name="千位分隔 3 11" xfId="15516"/>
    <cellStyle name="千位分隔 3 11 2" xfId="15517"/>
    <cellStyle name="千位分隔 3 12" xfId="15518"/>
    <cellStyle name="千位分隔 3 12 2" xfId="15519"/>
    <cellStyle name="千位分隔 3 13" xfId="15520"/>
    <cellStyle name="千位分隔 3 14" xfId="15521"/>
    <cellStyle name="千位分隔 3 16" xfId="15522"/>
    <cellStyle name="千位分隔 3 21" xfId="15523"/>
    <cellStyle name="千位分隔 3 17" xfId="15524"/>
    <cellStyle name="千位分隔 3 22" xfId="15525"/>
    <cellStyle name="千位分隔 3 18" xfId="15526"/>
    <cellStyle name="千位分隔 3 23" xfId="15527"/>
    <cellStyle name="千位分隔 3 19" xfId="15528"/>
    <cellStyle name="千位分隔 3 24" xfId="15529"/>
    <cellStyle name="千位分隔 3 2" xfId="15530"/>
    <cellStyle name="千位分隔 3 2 11" xfId="15531"/>
    <cellStyle name="千位分隔 3 2 12" xfId="15532"/>
    <cellStyle name="千位分隔 3 2 13" xfId="15533"/>
    <cellStyle name="千位分隔 3 2 15" xfId="15534"/>
    <cellStyle name="千位分隔 3 2 2" xfId="15535"/>
    <cellStyle name="千位分隔 3 2 2 2" xfId="15536"/>
    <cellStyle name="强调文字颜色 3 2 5" xfId="15537"/>
    <cellStyle name="千位分隔 3 2 2 2 2" xfId="15538"/>
    <cellStyle name="强调文字颜色 3 2 5 2" xfId="15539"/>
    <cellStyle name="千位分隔 3 2 2 3" xfId="15540"/>
    <cellStyle name="强调文字颜色 3 2 6" xfId="15541"/>
    <cellStyle name="千位分隔 3 2 2 3 2" xfId="15542"/>
    <cellStyle name="强调文字颜色 3 2 6 2" xfId="15543"/>
    <cellStyle name="千位分隔 3 2 2 4" xfId="15544"/>
    <cellStyle name="强调文字颜色 3 2 7" xfId="15545"/>
    <cellStyle name="千位分隔 3 2 2 5" xfId="15546"/>
    <cellStyle name="强调文字颜色 3 2 8" xfId="15547"/>
    <cellStyle name="千位分隔 3 2 3" xfId="15548"/>
    <cellStyle name="千位分隔 3 2 3 2" xfId="15549"/>
    <cellStyle name="强调文字颜色 3 3 5" xfId="15550"/>
    <cellStyle name="千位分隔 3 2 3 2 2" xfId="15551"/>
    <cellStyle name="强调文字颜色 3 3 5 2" xfId="15552"/>
    <cellStyle name="千位分隔 3 2 3 3 2" xfId="15553"/>
    <cellStyle name="强调文字颜色 3 3 6 2" xfId="15554"/>
    <cellStyle name="千位分隔 3 2 3 5" xfId="15555"/>
    <cellStyle name="强调文字颜色 3 3 8" xfId="15556"/>
    <cellStyle name="千位分隔 3 2 4" xfId="15557"/>
    <cellStyle name="千位分隔 3 2 4 2" xfId="15558"/>
    <cellStyle name="强调文字颜色 3 4 5" xfId="15559"/>
    <cellStyle name="千位分隔 3 2 4 2 2" xfId="15560"/>
    <cellStyle name="强调文字颜色 3 4 5 2" xfId="15561"/>
    <cellStyle name="千位分隔 3 2 4 3" xfId="15562"/>
    <cellStyle name="强调文字颜色 3 4 6" xfId="15563"/>
    <cellStyle name="千位分隔 3 2 4 5" xfId="15564"/>
    <cellStyle name="强调文字颜色 3 4 8" xfId="15565"/>
    <cellStyle name="千位分隔 3 2 5 2" xfId="15566"/>
    <cellStyle name="强调文字颜色 3 5 5" xfId="15567"/>
    <cellStyle name="千位分隔 3 2 5 3" xfId="15568"/>
    <cellStyle name="强调文字颜色 3 5 6" xfId="15569"/>
    <cellStyle name="千位分隔 3 2 5 4" xfId="15570"/>
    <cellStyle name="强调文字颜色 3 5 7" xfId="15571"/>
    <cellStyle name="千位分隔 3 2 5 5" xfId="15572"/>
    <cellStyle name="强调文字颜色 3 5 8" xfId="15573"/>
    <cellStyle name="千位分隔 3 2 6" xfId="15574"/>
    <cellStyle name="千位分隔 3 2 6 2" xfId="15575"/>
    <cellStyle name="强调文字颜色 3 6 5" xfId="15576"/>
    <cellStyle name="千位分隔 3 2 6 3" xfId="15577"/>
    <cellStyle name="强调文字颜色 3 6 6" xfId="15578"/>
    <cellStyle name="千位分隔 3 2 6 4" xfId="15579"/>
    <cellStyle name="强调文字颜色 3 6 7" xfId="15580"/>
    <cellStyle name="千位分隔 3 2 7" xfId="15581"/>
    <cellStyle name="千位分隔 3 2 7 2" xfId="15582"/>
    <cellStyle name="强调文字颜色 3 7 5" xfId="15583"/>
    <cellStyle name="千位分隔 3 2 8" xfId="15584"/>
    <cellStyle name="千位分隔 3 25" xfId="15585"/>
    <cellStyle name="千位分隔 3 3" xfId="15586"/>
    <cellStyle name="千位分隔 3 3 2" xfId="15587"/>
    <cellStyle name="千位分隔 3 3 2 2" xfId="15588"/>
    <cellStyle name="强调文字颜色 4 2 5" xfId="15589"/>
    <cellStyle name="千位分隔 3 3 2 2 2" xfId="15590"/>
    <cellStyle name="强调文字颜色 4 2 5 2" xfId="15591"/>
    <cellStyle name="千位分隔 3 3 2 3" xfId="15592"/>
    <cellStyle name="强调文字颜色 4 2 6" xfId="15593"/>
    <cellStyle name="千位分隔 3 3 3" xfId="15594"/>
    <cellStyle name="千位分隔 3 3 3 2" xfId="15595"/>
    <cellStyle name="强调文字颜色 4 3 5" xfId="15596"/>
    <cellStyle name="千位分隔 3 3 4" xfId="15597"/>
    <cellStyle name="千位分隔 3 3 5" xfId="15598"/>
    <cellStyle name="千位分隔 3 3 6" xfId="15599"/>
    <cellStyle name="千位分隔 3 3 7" xfId="15600"/>
    <cellStyle name="千位分隔 3 4" xfId="15601"/>
    <cellStyle name="千位分隔 3 4 2" xfId="15602"/>
    <cellStyle name="输出 6" xfId="15603"/>
    <cellStyle name="千位分隔 3 4 2 2" xfId="15604"/>
    <cellStyle name="强调文字颜色 5 2 5" xfId="15605"/>
    <cellStyle name="输出 6 2" xfId="15606"/>
    <cellStyle name="千位分隔 3 4 2 2 2" xfId="15607"/>
    <cellStyle name="强调文字颜色 5 2 5 2" xfId="15608"/>
    <cellStyle name="输出 6 2 2" xfId="15609"/>
    <cellStyle name="千位分隔 3 4 2 3" xfId="15610"/>
    <cellStyle name="强调文字颜色 5 2 6" xfId="15611"/>
    <cellStyle name="输出 6 3" xfId="15612"/>
    <cellStyle name="千位分隔 3 4 3" xfId="15613"/>
    <cellStyle name="输出 7" xfId="15614"/>
    <cellStyle name="千位分隔 3 4 3 2" xfId="15615"/>
    <cellStyle name="强调文字颜色 5 3 5" xfId="15616"/>
    <cellStyle name="输出 7 2" xfId="15617"/>
    <cellStyle name="千位分隔 3 4 4" xfId="15618"/>
    <cellStyle name="输出 8" xfId="15619"/>
    <cellStyle name="千位分隔 3 4 4 2" xfId="15620"/>
    <cellStyle name="强调文字颜色 5 4 5" xfId="15621"/>
    <cellStyle name="输出 8 2" xfId="15622"/>
    <cellStyle name="千位分隔 3 4 5" xfId="15623"/>
    <cellStyle name="输出 9" xfId="15624"/>
    <cellStyle name="千位分隔 3 5" xfId="15625"/>
    <cellStyle name="千位分隔 3 5 2" xfId="15626"/>
    <cellStyle name="千位分隔 3 5 2 2" xfId="15627"/>
    <cellStyle name="强调文字颜色 6 2 5" xfId="15628"/>
    <cellStyle name="千位分隔 3 5 2 2 2" xfId="15629"/>
    <cellStyle name="强调文字颜色 6 2 5 2" xfId="15630"/>
    <cellStyle name="千位分隔 3 5 3" xfId="15631"/>
    <cellStyle name="千位分隔 3 5 3 2" xfId="15632"/>
    <cellStyle name="强调文字颜色 6 3 5" xfId="15633"/>
    <cellStyle name="千位分隔 3 5 4" xfId="15634"/>
    <cellStyle name="千位分隔 3 5 5" xfId="15635"/>
    <cellStyle name="千位分隔 3 6 3" xfId="15636"/>
    <cellStyle name="千位分隔 3 6 4" xfId="15637"/>
    <cellStyle name="千位分隔 3 7 2" xfId="15638"/>
    <cellStyle name="千位分隔 3 7 2 2" xfId="15639"/>
    <cellStyle name="千位分隔 3 7 3" xfId="15640"/>
    <cellStyle name="千位分隔 3 7 3 2" xfId="15641"/>
    <cellStyle name="千位分隔 3 8" xfId="15642"/>
    <cellStyle name="千位分隔 3 8 2" xfId="15643"/>
    <cellStyle name="千位分隔 3 8 3" xfId="15644"/>
    <cellStyle name="千位分隔 3 8 4" xfId="15645"/>
    <cellStyle name="千位分隔 3 9" xfId="15646"/>
    <cellStyle name="千位分隔 3 9 2" xfId="15647"/>
    <cellStyle name="千位分隔 3 9 3" xfId="15648"/>
    <cellStyle name="千位分隔 4" xfId="15649"/>
    <cellStyle name="千位分隔 4 11" xfId="15650"/>
    <cellStyle name="千位分隔 4 12" xfId="15651"/>
    <cellStyle name="千位分隔 4 2" xfId="15652"/>
    <cellStyle name="千位分隔 4 2 2 2 2" xfId="15653"/>
    <cellStyle name="千位分隔 4 3" xfId="15654"/>
    <cellStyle name="千位分隔 4 4" xfId="15655"/>
    <cellStyle name="千位分隔 4 4 2" xfId="15656"/>
    <cellStyle name="千位分隔 4 4 2 2" xfId="15657"/>
    <cellStyle name="注释 13 2 6" xfId="15658"/>
    <cellStyle name="千位分隔 4 5" xfId="15659"/>
    <cellStyle name="千位分隔 4 5 2" xfId="15660"/>
    <cellStyle name="千位分隔 4 6 2" xfId="15661"/>
    <cellStyle name="千位分隔 4 7" xfId="15662"/>
    <cellStyle name="千位分隔 4 7 2" xfId="15663"/>
    <cellStyle name="千位分隔 4 8" xfId="15664"/>
    <cellStyle name="千位分隔 4 9" xfId="15665"/>
    <cellStyle name="千位分隔 5" xfId="15666"/>
    <cellStyle name="强调文字颜色 6 15 2" xfId="15667"/>
    <cellStyle name="千位分隔 5 10" xfId="15668"/>
    <cellStyle name="千位分隔 5 12" xfId="15669"/>
    <cellStyle name="千位分隔 5 14" xfId="15670"/>
    <cellStyle name="千位分隔 5 15" xfId="15671"/>
    <cellStyle name="千位分隔 5 16" xfId="15672"/>
    <cellStyle name="千位分隔 5 2" xfId="15673"/>
    <cellStyle name="千位分隔 5 2 10" xfId="15674"/>
    <cellStyle name="千位分隔 5 2 2" xfId="15675"/>
    <cellStyle name="千位分隔 5 2 2 10" xfId="15676"/>
    <cellStyle name="千位分隔 5 2 2 2" xfId="15677"/>
    <cellStyle name="千位分隔 5 2 2 2 2" xfId="15678"/>
    <cellStyle name="注释 2 4 3" xfId="15679"/>
    <cellStyle name="千位分隔 5 2 2 2 3" xfId="15680"/>
    <cellStyle name="注释 2 4 4" xfId="15681"/>
    <cellStyle name="千位分隔 5 2 2 2 5" xfId="15682"/>
    <cellStyle name="千位分隔 5 2 3" xfId="15683"/>
    <cellStyle name="千位分隔 5 2 4" xfId="15684"/>
    <cellStyle name="千位分隔 5 2 4 2" xfId="15685"/>
    <cellStyle name="千位分隔 5 2 4 2 2" xfId="15686"/>
    <cellStyle name="注释 4 4 3" xfId="15687"/>
    <cellStyle name="千位分隔 5 2 5" xfId="15688"/>
    <cellStyle name="千位分隔 5 2 6" xfId="15689"/>
    <cellStyle name="千位分隔 5 2 7" xfId="15690"/>
    <cellStyle name="千位分隔 5 2 8" xfId="15691"/>
    <cellStyle name="千位分隔 5 2 9" xfId="15692"/>
    <cellStyle name="千位分隔 5 3" xfId="15693"/>
    <cellStyle name="千位分隔 5 3 2" xfId="15694"/>
    <cellStyle name="千位分隔 5 3 2 2" xfId="15695"/>
    <cellStyle name="千位分隔 5 3 3" xfId="15696"/>
    <cellStyle name="千位分隔 5 3 4" xfId="15697"/>
    <cellStyle name="千位分隔 5 3 5" xfId="15698"/>
    <cellStyle name="千位分隔 5 3 6" xfId="15699"/>
    <cellStyle name="千位分隔 5 4" xfId="15700"/>
    <cellStyle name="千位分隔 5 4 2" xfId="15701"/>
    <cellStyle name="千位分隔 5 4 2 2" xfId="15702"/>
    <cellStyle name="千位分隔 5 5" xfId="15703"/>
    <cellStyle name="千位分隔 5 5 2" xfId="15704"/>
    <cellStyle name="千位分隔 5 6" xfId="15705"/>
    <cellStyle name="千位分隔 5 6 2" xfId="15706"/>
    <cellStyle name="千位分隔 5 6 3" xfId="15707"/>
    <cellStyle name="千位分隔 5 7" xfId="15708"/>
    <cellStyle name="千位分隔 5 7 2" xfId="15709"/>
    <cellStyle name="千位分隔 5 8" xfId="15710"/>
    <cellStyle name="千位分隔 5 9" xfId="15711"/>
    <cellStyle name="千位分隔 6" xfId="15712"/>
    <cellStyle name="千位分隔 6 10" xfId="15713"/>
    <cellStyle name="千位分隔 6 11" xfId="15714"/>
    <cellStyle name="千位分隔 6 12" xfId="15715"/>
    <cellStyle name="千位分隔 6 13" xfId="15716"/>
    <cellStyle name="千位分隔 6 14" xfId="15717"/>
    <cellStyle name="强调文字颜色 4 2 2" xfId="15718"/>
    <cellStyle name="千位分隔 6 2 2" xfId="15719"/>
    <cellStyle name="千位分隔 6 2 2 2" xfId="15720"/>
    <cellStyle name="千位分隔 6 2 3" xfId="15721"/>
    <cellStyle name="千位分隔 6 3 2" xfId="15722"/>
    <cellStyle name="千位分隔 6 3 2 2" xfId="15723"/>
    <cellStyle name="千位分隔 6 3 3" xfId="15724"/>
    <cellStyle name="千位分隔 6 4 2" xfId="15725"/>
    <cellStyle name="千位分隔 6 5" xfId="15726"/>
    <cellStyle name="千位分隔 6 5 2" xfId="15727"/>
    <cellStyle name="千位分隔 6 6" xfId="15728"/>
    <cellStyle name="千位分隔 6 6 2" xfId="15729"/>
    <cellStyle name="千位分隔 6 7" xfId="15730"/>
    <cellStyle name="千位分隔 6 7 2" xfId="15731"/>
    <cellStyle name="千位分隔 6 8" xfId="15732"/>
    <cellStyle name="千位分隔 6 9" xfId="15733"/>
    <cellStyle name="千位分隔 7" xfId="15734"/>
    <cellStyle name="千位分隔 7 2 2" xfId="15735"/>
    <cellStyle name="千位分隔 7 2 2 2" xfId="15736"/>
    <cellStyle name="千位分隔 7 2 3" xfId="15737"/>
    <cellStyle name="千位分隔 7 3 2 2" xfId="15738"/>
    <cellStyle name="千位分隔 7 3 3" xfId="15739"/>
    <cellStyle name="千位分隔 7 4" xfId="15740"/>
    <cellStyle name="千位分隔 7 5" xfId="15741"/>
    <cellStyle name="千位分隔 7 6" xfId="15742"/>
    <cellStyle name="千位分隔 7 7" xfId="15743"/>
    <cellStyle name="千位分隔 7 8" xfId="15744"/>
    <cellStyle name="千位分隔 8" xfId="15745"/>
    <cellStyle name="千位分隔 9" xfId="15746"/>
    <cellStyle name="千位分隔 9 2" xfId="15747"/>
    <cellStyle name="千位分隔 9 3" xfId="15748"/>
    <cellStyle name="千位分隔 9 4" xfId="15749"/>
    <cellStyle name="千位分隔[0] 10 2" xfId="15750"/>
    <cellStyle name="千位分隔[0] 11 2" xfId="15751"/>
    <cellStyle name="千位分隔[0] 2 2 2" xfId="15752"/>
    <cellStyle name="千位分隔[0] 2 2 2 2 2" xfId="15753"/>
    <cellStyle name="千位分隔[0] 2 2 2 2 3" xfId="15754"/>
    <cellStyle name="千位分隔[0] 2 2 3" xfId="15755"/>
    <cellStyle name="千位分隔[0] 2 2 5" xfId="15756"/>
    <cellStyle name="千位分隔[0] 2 3" xfId="15757"/>
    <cellStyle name="千位分隔[0] 2 3 2" xfId="15758"/>
    <cellStyle name="千位分隔[0] 2 3 3" xfId="15759"/>
    <cellStyle name="千位分隔[0] 2 4" xfId="15760"/>
    <cellStyle name="千位分隔[0] 2 5" xfId="15761"/>
    <cellStyle name="千位分隔[0] 2 6" xfId="15762"/>
    <cellStyle name="千位分隔[0] 2 7" xfId="15763"/>
    <cellStyle name="千位分隔[0] 3 2" xfId="15764"/>
    <cellStyle name="千位分隔[0] 3 3" xfId="15765"/>
    <cellStyle name="千位分隔[0] 3 4" xfId="15766"/>
    <cellStyle name="千位分隔[0] 3 5" xfId="15767"/>
    <cellStyle name="千位分隔[0] 4 2" xfId="15768"/>
    <cellStyle name="千位分隔[0] 5 2" xfId="15769"/>
    <cellStyle name="千位分隔[0] 6 2" xfId="15770"/>
    <cellStyle name="千位分隔[0] 9 2" xfId="15771"/>
    <cellStyle name="强调文字颜色 1 10 10" xfId="15772"/>
    <cellStyle name="强调文字颜色 3 6 3 3" xfId="15773"/>
    <cellStyle name="强调文字颜色 1 10 11" xfId="15774"/>
    <cellStyle name="强调文字颜色 1 10 12" xfId="15775"/>
    <cellStyle name="强调文字颜色 1 10 2" xfId="15776"/>
    <cellStyle name="强调文字颜色 1 10 2 2" xfId="15777"/>
    <cellStyle name="强调文字颜色 1 10 2 3" xfId="15778"/>
    <cellStyle name="强调文字颜色 1 10 2 4" xfId="15779"/>
    <cellStyle name="强调文字颜色 1 10 3" xfId="15780"/>
    <cellStyle name="强调文字颜色 1 10 3 2" xfId="15781"/>
    <cellStyle name="强调文字颜色 1 10 3 2 2" xfId="15782"/>
    <cellStyle name="强调文字颜色 1 10 4" xfId="15783"/>
    <cellStyle name="强调文字颜色 1 10 4 2" xfId="15784"/>
    <cellStyle name="强调文字颜色 1 10 5" xfId="15785"/>
    <cellStyle name="强调文字颜色 1 10 5 2" xfId="15786"/>
    <cellStyle name="强调文字颜色 1 10 7" xfId="15787"/>
    <cellStyle name="强调文字颜色 1 10 7 2" xfId="15788"/>
    <cellStyle name="强调文字颜色 1 10 8" xfId="15789"/>
    <cellStyle name="强调文字颜色 3 5 4 2" xfId="15790"/>
    <cellStyle name="强调文字颜色 1 10 9" xfId="15791"/>
    <cellStyle name="强调文字颜色 1 11" xfId="15792"/>
    <cellStyle name="强调文字颜色 1 11 10" xfId="15793"/>
    <cellStyle name="强调文字颜色 1 11 11" xfId="15794"/>
    <cellStyle name="强调文字颜色 1 11 12" xfId="15795"/>
    <cellStyle name="强调文字颜色 1 11 2" xfId="15796"/>
    <cellStyle name="强调文字颜色 1 11 2 2" xfId="15797"/>
    <cellStyle name="强调文字颜色 1 11 2 2 2" xfId="15798"/>
    <cellStyle name="强调文字颜色 1 11 2 4" xfId="15799"/>
    <cellStyle name="强调文字颜色 1 11 3" xfId="15800"/>
    <cellStyle name="强调文字颜色 1 11 3 2" xfId="15801"/>
    <cellStyle name="强调文字颜色 1 11 3 2 2" xfId="15802"/>
    <cellStyle name="强调文字颜色 1 11 3 3" xfId="15803"/>
    <cellStyle name="强调文字颜色 1 11 4" xfId="15804"/>
    <cellStyle name="强调文字颜色 1 11 5" xfId="15805"/>
    <cellStyle name="强调文字颜色 1 11 8" xfId="15806"/>
    <cellStyle name="强调文字颜色 3 5 5 2" xfId="15807"/>
    <cellStyle name="强调文字颜色 1 11 9" xfId="15808"/>
    <cellStyle name="强调文字颜色 1 12" xfId="15809"/>
    <cellStyle name="强调文字颜色 1 12 2" xfId="15810"/>
    <cellStyle name="强调文字颜色 1 12 2 2" xfId="15811"/>
    <cellStyle name="强调文字颜色 1 12 2 2 2" xfId="15812"/>
    <cellStyle name="强调文字颜色 1 12 2 3" xfId="15813"/>
    <cellStyle name="强调文字颜色 1 12 2 4" xfId="15814"/>
    <cellStyle name="强调文字颜色 1 12 3" xfId="15815"/>
    <cellStyle name="强调文字颜色 1 12 3 2" xfId="15816"/>
    <cellStyle name="强调文字颜色 1 12 3 3" xfId="15817"/>
    <cellStyle name="强调文字颜色 1 12 4" xfId="15818"/>
    <cellStyle name="强调文字颜色 1 12 5" xfId="15819"/>
    <cellStyle name="强调文字颜色 1 12 7" xfId="15820"/>
    <cellStyle name="强调文字颜色 1 12 7 2" xfId="15821"/>
    <cellStyle name="强调文字颜色 1 12 8" xfId="15822"/>
    <cellStyle name="强调文字颜色 3 5 6 2" xfId="15823"/>
    <cellStyle name="强调文字颜色 1 12 9" xfId="15824"/>
    <cellStyle name="强调文字颜色 1 13" xfId="15825"/>
    <cellStyle name="强调文字颜色 1 13 11" xfId="15826"/>
    <cellStyle name="强调文字颜色 1 13 12" xfId="15827"/>
    <cellStyle name="强调文字颜色 1 13 13" xfId="15828"/>
    <cellStyle name="强调文字颜色 1 13 2" xfId="15829"/>
    <cellStyle name="强调文字颜色 1 13 2 2" xfId="15830"/>
    <cellStyle name="强调文字颜色 1 13 2 2 2" xfId="15831"/>
    <cellStyle name="强调文字颜色 1 13 2 3" xfId="15832"/>
    <cellStyle name="强调文字颜色 1 13 2 4" xfId="15833"/>
    <cellStyle name="强调文字颜色 1 13 3" xfId="15834"/>
    <cellStyle name="强调文字颜色 1 13 3 2" xfId="15835"/>
    <cellStyle name="强调文字颜色 1 13 3 2 2" xfId="15836"/>
    <cellStyle name="强调文字颜色 1 13 3 3" xfId="15837"/>
    <cellStyle name="强调文字颜色 1 13 4" xfId="15838"/>
    <cellStyle name="强调文字颜色 1 13 5" xfId="15839"/>
    <cellStyle name="强调文字颜色 1 13 6" xfId="15840"/>
    <cellStyle name="强调文字颜色 1 13 7" xfId="15841"/>
    <cellStyle name="强调文字颜色 1 13 7 2" xfId="15842"/>
    <cellStyle name="强调文字颜色 1 13 8" xfId="15843"/>
    <cellStyle name="强调文字颜色 3 5 7 2" xfId="15844"/>
    <cellStyle name="强调文字颜色 1 13 9" xfId="15845"/>
    <cellStyle name="强调文字颜色 1 14" xfId="15846"/>
    <cellStyle name="强调文字颜色 6 6 2 2 2" xfId="15847"/>
    <cellStyle name="强调文字颜色 1 14 2 2" xfId="15848"/>
    <cellStyle name="强调文字颜色 1 14 3" xfId="15849"/>
    <cellStyle name="强调文字颜色 1 15" xfId="15850"/>
    <cellStyle name="强调文字颜色 1 15 2" xfId="15851"/>
    <cellStyle name="强调文字颜色 1 2" xfId="15852"/>
    <cellStyle name="强调文字颜色 1 2 10" xfId="15853"/>
    <cellStyle name="强调文字颜色 1 2 11" xfId="15854"/>
    <cellStyle name="强调文字颜色 1 2 12" xfId="15855"/>
    <cellStyle name="强调文字颜色 1 2 2" xfId="15856"/>
    <cellStyle name="强调文字颜色 1 2 2 2" xfId="15857"/>
    <cellStyle name="强调文字颜色 1 2 2 2 2" xfId="15858"/>
    <cellStyle name="强调文字颜色 1 2 2 2 2 2" xfId="15859"/>
    <cellStyle name="强调文字颜色 1 2 2 3" xfId="15860"/>
    <cellStyle name="强调文字颜色 1 2 2 3 2" xfId="15861"/>
    <cellStyle name="强调文字颜色 1 2 2 4" xfId="15862"/>
    <cellStyle name="强调文字颜色 1 2 2 5" xfId="15863"/>
    <cellStyle name="强调文字颜色 1 2 3" xfId="15864"/>
    <cellStyle name="强调文字颜色 1 2 3 2" xfId="15865"/>
    <cellStyle name="强调文字颜色 1 2 3 3" xfId="15866"/>
    <cellStyle name="强调文字颜色 1 2 4" xfId="15867"/>
    <cellStyle name="强调文字颜色 1 2 4 2" xfId="15868"/>
    <cellStyle name="强调文字颜色 1 2 4 3" xfId="15869"/>
    <cellStyle name="强调文字颜色 1 2 5" xfId="15870"/>
    <cellStyle name="强调文字颜色 1 2 5 2" xfId="15871"/>
    <cellStyle name="强调文字颜色 1 2 6 2" xfId="15872"/>
    <cellStyle name="强调文字颜色 1 2 7" xfId="15873"/>
    <cellStyle name="强调文字颜色 1 2 7 2" xfId="15874"/>
    <cellStyle name="强调文字颜色 1 2 8" xfId="15875"/>
    <cellStyle name="强调文字颜色 1 2 8 2" xfId="15876"/>
    <cellStyle name="强调文字颜色 1 2 9" xfId="15877"/>
    <cellStyle name="强调文字颜色 1 3" xfId="15878"/>
    <cellStyle name="强调文字颜色 1 3 10" xfId="15879"/>
    <cellStyle name="强调文字颜色 1 3 11" xfId="15880"/>
    <cellStyle name="强调文字颜色 1 3 12" xfId="15881"/>
    <cellStyle name="强调文字颜色 1 3 2" xfId="15882"/>
    <cellStyle name="强调文字颜色 1 3 2 2" xfId="15883"/>
    <cellStyle name="强调文字颜色 1 3 2 3" xfId="15884"/>
    <cellStyle name="强调文字颜色 1 3 2 4" xfId="15885"/>
    <cellStyle name="强调文字颜色 1 3 3" xfId="15886"/>
    <cellStyle name="强调文字颜色 1 3 3 2" xfId="15887"/>
    <cellStyle name="强调文字颜色 1 3 3 2 2" xfId="15888"/>
    <cellStyle name="强调文字颜色 1 3 3 3" xfId="15889"/>
    <cellStyle name="强调文字颜色 1 3 4" xfId="15890"/>
    <cellStyle name="强调文字颜色 1 3 4 2" xfId="15891"/>
    <cellStyle name="强调文字颜色 1 3 5" xfId="15892"/>
    <cellStyle name="强调文字颜色 1 3 5 2" xfId="15893"/>
    <cellStyle name="强调文字颜色 1 3 6" xfId="15894"/>
    <cellStyle name="强调文字颜色 1 3 6 2" xfId="15895"/>
    <cellStyle name="强调文字颜色 1 4" xfId="15896"/>
    <cellStyle name="强调文字颜色 1 4 10" xfId="15897"/>
    <cellStyle name="强调文字颜色 1 4 11" xfId="15898"/>
    <cellStyle name="强调文字颜色 1 4 12" xfId="15899"/>
    <cellStyle name="强调文字颜色 1 4 2 2" xfId="15900"/>
    <cellStyle name="强调文字颜色 1 4 2 3" xfId="15901"/>
    <cellStyle name="强调文字颜色 1 4 2 4" xfId="15902"/>
    <cellStyle name="强调文字颜色 1 4 3" xfId="15903"/>
    <cellStyle name="强调文字颜色 1 4 3 2" xfId="15904"/>
    <cellStyle name="强调文字颜色 1 4 3 2 2" xfId="15905"/>
    <cellStyle name="强调文字颜色 1 4 3 3" xfId="15906"/>
    <cellStyle name="强调文字颜色 1 4 4" xfId="15907"/>
    <cellStyle name="强调文字颜色 1 4 4 2" xfId="15908"/>
    <cellStyle name="强调文字颜色 1 4 5" xfId="15909"/>
    <cellStyle name="强调文字颜色 1 4 5 2" xfId="15910"/>
    <cellStyle name="强调文字颜色 1 4 6" xfId="15911"/>
    <cellStyle name="强调文字颜色 1 4 6 2" xfId="15912"/>
    <cellStyle name="强调文字颜色 1 4 8" xfId="15913"/>
    <cellStyle name="强调文字颜色 1 4 9" xfId="15914"/>
    <cellStyle name="强调文字颜色 1 5" xfId="15915"/>
    <cellStyle name="强调文字颜色 1 5 10" xfId="15916"/>
    <cellStyle name="强调文字颜色 1 5 2" xfId="15917"/>
    <cellStyle name="强调文字颜色 1 5 2 2 2" xfId="15918"/>
    <cellStyle name="强调文字颜色 1 5 3" xfId="15919"/>
    <cellStyle name="强调文字颜色 1 5 3 2" xfId="15920"/>
    <cellStyle name="强调文字颜色 1 5 3 2 2" xfId="15921"/>
    <cellStyle name="强调文字颜色 1 5 3 3" xfId="15922"/>
    <cellStyle name="强调文字颜色 1 5 4" xfId="15923"/>
    <cellStyle name="强调文字颜色 1 5 4 2" xfId="15924"/>
    <cellStyle name="强调文字颜色 1 5 5" xfId="15925"/>
    <cellStyle name="强调文字颜色 1 5 5 2" xfId="15926"/>
    <cellStyle name="强调文字颜色 1 5 6" xfId="15927"/>
    <cellStyle name="强调文字颜色 1 5 7" xfId="15928"/>
    <cellStyle name="强调文字颜色 1 5 8" xfId="15929"/>
    <cellStyle name="强调文字颜色 1 5 9" xfId="15930"/>
    <cellStyle name="强调文字颜色 1 6" xfId="15931"/>
    <cellStyle name="强调文字颜色 1 6 10" xfId="15932"/>
    <cellStyle name="强调文字颜色 1 6 11" xfId="15933"/>
    <cellStyle name="强调文字颜色 1 6 12" xfId="15934"/>
    <cellStyle name="强调文字颜色 1 6 2" xfId="15935"/>
    <cellStyle name="强调文字颜色 2 9 2 4" xfId="15936"/>
    <cellStyle name="强调文字颜色 1 6 2 2 2" xfId="15937"/>
    <cellStyle name="强调文字颜色 1 6 3" xfId="15938"/>
    <cellStyle name="强调文字颜色 1 6 3 2 2" xfId="15939"/>
    <cellStyle name="强调文字颜色 1 6 4" xfId="15940"/>
    <cellStyle name="强调文字颜色 1 6 4 2" xfId="15941"/>
    <cellStyle name="强调文字颜色 1 6 5" xfId="15942"/>
    <cellStyle name="强调文字颜色 1 6 5 2" xfId="15943"/>
    <cellStyle name="强调文字颜色 1 6 6" xfId="15944"/>
    <cellStyle name="强调文字颜色 1 6 6 2" xfId="15945"/>
    <cellStyle name="强调文字颜色 1 6 8" xfId="15946"/>
    <cellStyle name="强调文字颜色 1 7" xfId="15947"/>
    <cellStyle name="强调文字颜色 1 7 10" xfId="15948"/>
    <cellStyle name="强调文字颜色 1 7 11" xfId="15949"/>
    <cellStyle name="强调文字颜色 1 7 12" xfId="15950"/>
    <cellStyle name="强调文字颜色 1 7 2" xfId="15951"/>
    <cellStyle name="强调文字颜色 1 7 2 2" xfId="15952"/>
    <cellStyle name="强调文字颜色 1 7 2 3" xfId="15953"/>
    <cellStyle name="强调文字颜色 1 7 2 4" xfId="15954"/>
    <cellStyle name="强调文字颜色 1 7 3 3" xfId="15955"/>
    <cellStyle name="强调文字颜色 1 7 4 2" xfId="15956"/>
    <cellStyle name="强调文字颜色 1 7 5" xfId="15957"/>
    <cellStyle name="强调文字颜色 1 7 5 2" xfId="15958"/>
    <cellStyle name="强调文字颜色 1 7 6" xfId="15959"/>
    <cellStyle name="强调文字颜色 1 7 6 2" xfId="15960"/>
    <cellStyle name="强调文字颜色 1 7 7 2" xfId="15961"/>
    <cellStyle name="输出 5 3 2 3" xfId="15962"/>
    <cellStyle name="强调文字颜色 1 7 8" xfId="15963"/>
    <cellStyle name="强调文字颜色 1 8" xfId="15964"/>
    <cellStyle name="强调文字颜色 1 8 11" xfId="15965"/>
    <cellStyle name="强调文字颜色 1 8 12" xfId="15966"/>
    <cellStyle name="强调文字颜色 1 8 2" xfId="15967"/>
    <cellStyle name="强调文字颜色 1 8 2 2" xfId="15968"/>
    <cellStyle name="强调文字颜色 1 8 2 3" xfId="15969"/>
    <cellStyle name="强调文字颜色 1 8 2 4" xfId="15970"/>
    <cellStyle name="强调文字颜色 1 8 4" xfId="15971"/>
    <cellStyle name="强调文字颜色 1 8 4 2" xfId="15972"/>
    <cellStyle name="强调文字颜色 1 8 5" xfId="15973"/>
    <cellStyle name="强调文字颜色 1 8 5 2" xfId="15974"/>
    <cellStyle name="强调文字颜色 1 8 6" xfId="15975"/>
    <cellStyle name="强调文字颜色 1 8 6 2" xfId="15976"/>
    <cellStyle name="强调文字颜色 1 8 7" xfId="15977"/>
    <cellStyle name="强调文字颜色 1 8 7 2" xfId="15978"/>
    <cellStyle name="强调文字颜色 1 8 8" xfId="15979"/>
    <cellStyle name="强调文字颜色 1 8 9" xfId="15980"/>
    <cellStyle name="强调文字颜色 1 9 10" xfId="15981"/>
    <cellStyle name="强调文字颜色 1 9 11" xfId="15982"/>
    <cellStyle name="强调文字颜色 1 9 12" xfId="15983"/>
    <cellStyle name="强调文字颜色 1 9 2" xfId="15984"/>
    <cellStyle name="强调文字颜色 1 9 2 2" xfId="15985"/>
    <cellStyle name="强调文字颜色 1 9 2 3" xfId="15986"/>
    <cellStyle name="强调文字颜色 1 9 2 4" xfId="15987"/>
    <cellStyle name="强调文字颜色 1 9 3" xfId="15988"/>
    <cellStyle name="强调文字颜色 1 9 3 2" xfId="15989"/>
    <cellStyle name="强调文字颜色 1 9 3 2 2" xfId="15990"/>
    <cellStyle name="强调文字颜色 1 9 3 3" xfId="15991"/>
    <cellStyle name="强调文字颜色 1 9 4" xfId="15992"/>
    <cellStyle name="强调文字颜色 1 9 4 2" xfId="15993"/>
    <cellStyle name="强调文字颜色 1 9 5" xfId="15994"/>
    <cellStyle name="强调文字颜色 1 9 5 2" xfId="15995"/>
    <cellStyle name="强调文字颜色 1 9 6" xfId="15996"/>
    <cellStyle name="强调文字颜色 1 9 6 2" xfId="15997"/>
    <cellStyle name="强调文字颜色 1 9 7" xfId="15998"/>
    <cellStyle name="强调文字颜色 1 9 7 2" xfId="15999"/>
    <cellStyle name="强调文字颜色 1 9 8" xfId="16000"/>
    <cellStyle name="强调文字颜色 1 9 9" xfId="16001"/>
    <cellStyle name="强调文字颜色 2 10 10" xfId="16002"/>
    <cellStyle name="强调文字颜色 4 6 3 3" xfId="16003"/>
    <cellStyle name="强调文字颜色 2 10 11" xfId="16004"/>
    <cellStyle name="强调文字颜色 2 10 4 2" xfId="16005"/>
    <cellStyle name="强调文字颜色 2 10 12" xfId="16006"/>
    <cellStyle name="强调文字颜色 2 10 2 3" xfId="16007"/>
    <cellStyle name="强调文字颜色 6 8 11" xfId="16008"/>
    <cellStyle name="强调文字颜色 2 10 2 4" xfId="16009"/>
    <cellStyle name="强调文字颜色 6 8 12" xfId="16010"/>
    <cellStyle name="强调文字颜色 2 10 3 2" xfId="16011"/>
    <cellStyle name="强调文字颜色 4 6 2 4" xfId="16012"/>
    <cellStyle name="强调文字颜色 2 10 3 3" xfId="16013"/>
    <cellStyle name="通貨 [0.00]_１１月価格表" xfId="16014"/>
    <cellStyle name="强调文字颜色 2 10 4" xfId="16015"/>
    <cellStyle name="强调文字颜色 2 10 6 2" xfId="16016"/>
    <cellStyle name="强调文字颜色 2 10 7" xfId="16017"/>
    <cellStyle name="强调文字颜色 2 10 7 2" xfId="16018"/>
    <cellStyle name="强调文字颜色 6 9 10" xfId="16019"/>
    <cellStyle name="强调文字颜色 2 10 9" xfId="16020"/>
    <cellStyle name="强调文字颜色 2 11 11" xfId="16021"/>
    <cellStyle name="强调文字颜色 2 11 12" xfId="16022"/>
    <cellStyle name="强调文字颜色 2 11 2 2" xfId="16023"/>
    <cellStyle name="强调文字颜色 2 11 2 2 2" xfId="16024"/>
    <cellStyle name="强调文字颜色 2 11 2 3" xfId="16025"/>
    <cellStyle name="强调文字颜色 2 11 2 4" xfId="16026"/>
    <cellStyle name="强调文字颜色 2 11 3" xfId="16027"/>
    <cellStyle name="强调文字颜色 2 11 3 2" xfId="16028"/>
    <cellStyle name="强调文字颜色 4 7 2 4" xfId="16029"/>
    <cellStyle name="强调文字颜色 2 11 3 2 2" xfId="16030"/>
    <cellStyle name="强调文字颜色 2 11 3 3" xfId="16031"/>
    <cellStyle name="强调文字颜色 2 11 4" xfId="16032"/>
    <cellStyle name="强调文字颜色 2 11 4 2" xfId="16033"/>
    <cellStyle name="强调文字颜色 2 11 5 2" xfId="16034"/>
    <cellStyle name="强调文字颜色 2 11 6" xfId="16035"/>
    <cellStyle name="强调文字颜色 2 11 6 2" xfId="16036"/>
    <cellStyle name="强调文字颜色 2 11 7" xfId="16037"/>
    <cellStyle name="强调文字颜色 2 11 7 2" xfId="16038"/>
    <cellStyle name="强调文字颜色 2 11 8" xfId="16039"/>
    <cellStyle name="强调文字颜色 2 11 9" xfId="16040"/>
    <cellStyle name="强调文字颜色 2 12 10" xfId="16041"/>
    <cellStyle name="强调文字颜色 2 12 11" xfId="16042"/>
    <cellStyle name="强调文字颜色 2 12 12" xfId="16043"/>
    <cellStyle name="强调文字颜色 2 12 2" xfId="16044"/>
    <cellStyle name="强调文字颜色 2 12 2 2" xfId="16045"/>
    <cellStyle name="强调文字颜色 2 12 2 2 2" xfId="16046"/>
    <cellStyle name="强调文字颜色 2 12 2 3" xfId="16047"/>
    <cellStyle name="强调文字颜色 2 12 3" xfId="16048"/>
    <cellStyle name="强调文字颜色 2 12 3 2" xfId="16049"/>
    <cellStyle name="强调文字颜色 4 8 2 4" xfId="16050"/>
    <cellStyle name="强调文字颜色 2 12 3 2 2" xfId="16051"/>
    <cellStyle name="强调文字颜色 2 12 3 3" xfId="16052"/>
    <cellStyle name="强调文字颜色 2 12 4" xfId="16053"/>
    <cellStyle name="强调文字颜色 2 12 4 2" xfId="16054"/>
    <cellStyle name="强调文字颜色 2 12 5" xfId="16055"/>
    <cellStyle name="强调文字颜色 2 12 5 2" xfId="16056"/>
    <cellStyle name="强调文字颜色 2 12 6" xfId="16057"/>
    <cellStyle name="强调文字颜色 2 12 6 2" xfId="16058"/>
    <cellStyle name="强调文字颜色 2 12 7" xfId="16059"/>
    <cellStyle name="强调文字颜色 2 12 7 2" xfId="16060"/>
    <cellStyle name="适中 13" xfId="16061"/>
    <cellStyle name="强调文字颜色 2 12 8" xfId="16062"/>
    <cellStyle name="强调文字颜色 2 12 9" xfId="16063"/>
    <cellStyle name="强调文字颜色 2 13 10" xfId="16064"/>
    <cellStyle name="强调文字颜色 2 13 11" xfId="16065"/>
    <cellStyle name="强调文字颜色 2 13 12" xfId="16066"/>
    <cellStyle name="强调文字颜色 2 13 13" xfId="16067"/>
    <cellStyle name="适中 15 2" xfId="16068"/>
    <cellStyle name="强调文字颜色 2 13 2" xfId="16069"/>
    <cellStyle name="强调文字颜色 2 13 2 2" xfId="16070"/>
    <cellStyle name="强调文字颜色 2 13 2 2 2" xfId="16071"/>
    <cellStyle name="输入 8 2 3" xfId="16072"/>
    <cellStyle name="强调文字颜色 2 13 2 3" xfId="16073"/>
    <cellStyle name="强调文字颜色 2 13 2 4" xfId="16074"/>
    <cellStyle name="强调文字颜色 2 13 3" xfId="16075"/>
    <cellStyle name="强调文字颜色 2 13 3 2" xfId="16076"/>
    <cellStyle name="强调文字颜色 4 9 2 4" xfId="16077"/>
    <cellStyle name="强调文字颜色 2 13 3 2 2" xfId="16078"/>
    <cellStyle name="输入 9 2 3" xfId="16079"/>
    <cellStyle name="强调文字颜色 2 13 3 3" xfId="16080"/>
    <cellStyle name="强调文字颜色 2 13 4 2" xfId="16081"/>
    <cellStyle name="强调文字颜色 2 13 5" xfId="16082"/>
    <cellStyle name="强调文字颜色 2 13 5 2" xfId="16083"/>
    <cellStyle name="强调文字颜色 2 13 6" xfId="16084"/>
    <cellStyle name="强调文字颜色 2 13 6 2" xfId="16085"/>
    <cellStyle name="强调文字颜色 2 13 7" xfId="16086"/>
    <cellStyle name="输出 7 6 2 2" xfId="16087"/>
    <cellStyle name="强调文字颜色 2 13 7 2" xfId="16088"/>
    <cellStyle name="强调文字颜色 2 13 9" xfId="16089"/>
    <cellStyle name="强调文字颜色 2 14" xfId="16090"/>
    <cellStyle name="强调文字颜色 2 14 2" xfId="16091"/>
    <cellStyle name="强调文字颜色 2 14 2 2" xfId="16092"/>
    <cellStyle name="强调文字颜色 2 14 3" xfId="16093"/>
    <cellStyle name="强调文字颜色 2 2" xfId="16094"/>
    <cellStyle name="强调文字颜色 2 2 10" xfId="16095"/>
    <cellStyle name="强调文字颜色 2 2 11" xfId="16096"/>
    <cellStyle name="强调文字颜色 2 2 12" xfId="16097"/>
    <cellStyle name="强调文字颜色 2 2 2" xfId="16098"/>
    <cellStyle name="强调文字颜色 2 2 3" xfId="16099"/>
    <cellStyle name="强调文字颜色 2 2 4" xfId="16100"/>
    <cellStyle name="强调文字颜色 2 2 5" xfId="16101"/>
    <cellStyle name="强调文字颜色 2 2 6" xfId="16102"/>
    <cellStyle name="强调文字颜色 2 2 7" xfId="16103"/>
    <cellStyle name="强调文字颜色 2 2 8" xfId="16104"/>
    <cellStyle name="强调文字颜色 2 2 8 2" xfId="16105"/>
    <cellStyle name="强调文字颜色 2 2 9" xfId="16106"/>
    <cellStyle name="强调文字颜色 2 3" xfId="16107"/>
    <cellStyle name="强调文字颜色 2 3 10" xfId="16108"/>
    <cellStyle name="注释 10 5 3" xfId="16109"/>
    <cellStyle name="强调文字颜色 2 3 11" xfId="16110"/>
    <cellStyle name="注释 10 5 4" xfId="16111"/>
    <cellStyle name="强调文字颜色 2 3 12" xfId="16112"/>
    <cellStyle name="注释 10 5 5" xfId="16113"/>
    <cellStyle name="强调文字颜色 2 3 2" xfId="16114"/>
    <cellStyle name="强调文字颜色 2 3 2 2" xfId="16115"/>
    <cellStyle name="强调文字颜色 2 3 2 2 2" xfId="16116"/>
    <cellStyle name="强调文字颜色 2 3 2 3" xfId="16117"/>
    <cellStyle name="强调文字颜色 2 3 2 4" xfId="16118"/>
    <cellStyle name="强调文字颜色 2 3 3" xfId="16119"/>
    <cellStyle name="强调文字颜色 2 3 3 2" xfId="16120"/>
    <cellStyle name="强调文字颜色 2 3 3 2 2" xfId="16121"/>
    <cellStyle name="强调文字颜色 2 3 3 3" xfId="16122"/>
    <cellStyle name="强调文字颜色 2 3 4" xfId="16123"/>
    <cellStyle name="强调文字颜色 2 3 5" xfId="16124"/>
    <cellStyle name="强调文字颜色 2 3 5 2" xfId="16125"/>
    <cellStyle name="强调文字颜色 2 3 6" xfId="16126"/>
    <cellStyle name="强调文字颜色 2 3 6 2" xfId="16127"/>
    <cellStyle name="强调文字颜色 2 3 9" xfId="16128"/>
    <cellStyle name="强调文字颜色 2 4 10" xfId="16129"/>
    <cellStyle name="强调文字颜色 2 4 11" xfId="16130"/>
    <cellStyle name="强调文字颜色 2 4 12" xfId="16131"/>
    <cellStyle name="强调文字颜色 2 4 2" xfId="16132"/>
    <cellStyle name="强调文字颜色 2 4 2 2" xfId="16133"/>
    <cellStyle name="强调文字颜色 2 4 2 2 2" xfId="16134"/>
    <cellStyle name="强调文字颜色 2 4 2 3" xfId="16135"/>
    <cellStyle name="强调文字颜色 2 4 2 4" xfId="16136"/>
    <cellStyle name="强调文字颜色 2 4 3" xfId="16137"/>
    <cellStyle name="强调文字颜色 2 4 3 2" xfId="16138"/>
    <cellStyle name="强调文字颜色 2 4 3 2 2" xfId="16139"/>
    <cellStyle name="适中 4 7" xfId="16140"/>
    <cellStyle name="强调文字颜色 2 4 3 3" xfId="16141"/>
    <cellStyle name="强调文字颜色 2 4 4" xfId="16142"/>
    <cellStyle name="强调文字颜色 2 4 4 2" xfId="16143"/>
    <cellStyle name="强调文字颜色 2 4 5" xfId="16144"/>
    <cellStyle name="强调文字颜色 2 4 5 2" xfId="16145"/>
    <cellStyle name="强调文字颜色 2 4 6" xfId="16146"/>
    <cellStyle name="强调文字颜色 2 4 6 2" xfId="16147"/>
    <cellStyle name="强调文字颜色 2 4 7" xfId="16148"/>
    <cellStyle name="强调文字颜色 2 4 7 2" xfId="16149"/>
    <cellStyle name="强调文字颜色 2 4 8" xfId="16150"/>
    <cellStyle name="强调文字颜色 2 4 9" xfId="16151"/>
    <cellStyle name="强调文字颜色 2 5 10" xfId="16152"/>
    <cellStyle name="强调文字颜色 2 5 11" xfId="16153"/>
    <cellStyle name="强调文字颜色 2 5 12" xfId="16154"/>
    <cellStyle name="强调文字颜色 2 5 2" xfId="16155"/>
    <cellStyle name="强调文字颜色 2 5 2 2" xfId="16156"/>
    <cellStyle name="强调文字颜色 2 5 2 2 2" xfId="16157"/>
    <cellStyle name="强调文字颜色 2 5 2 3" xfId="16158"/>
    <cellStyle name="强调文字颜色 2 5 2 4" xfId="16159"/>
    <cellStyle name="强调文字颜色 2 5 3" xfId="16160"/>
    <cellStyle name="强调文字颜色 2 5 3 2" xfId="16161"/>
    <cellStyle name="强调文字颜色 2 5 3 2 2" xfId="16162"/>
    <cellStyle name="强调文字颜色 2 5 3 3" xfId="16163"/>
    <cellStyle name="强调文字颜色 2 5 4" xfId="16164"/>
    <cellStyle name="强调文字颜色 2 5 4 2" xfId="16165"/>
    <cellStyle name="强调文字颜色 2 5 5 2" xfId="16166"/>
    <cellStyle name="强调文字颜色 2 5 6" xfId="16167"/>
    <cellStyle name="强调文字颜色 2 5 6 2" xfId="16168"/>
    <cellStyle name="强调文字颜色 2 5 7 2" xfId="16169"/>
    <cellStyle name="强调文字颜色 2 5 8" xfId="16170"/>
    <cellStyle name="强调文字颜色 2 5 9" xfId="16171"/>
    <cellStyle name="强调文字颜色 2 6 10" xfId="16172"/>
    <cellStyle name="强调文字颜色 2 6 11" xfId="16173"/>
    <cellStyle name="强调文字颜色 2 6 12" xfId="16174"/>
    <cellStyle name="强调文字颜色 2 6 2" xfId="16175"/>
    <cellStyle name="强调文字颜色 2 6 2 2" xfId="16176"/>
    <cellStyle name="强调文字颜色 2 6 2 2 2" xfId="16177"/>
    <cellStyle name="强调文字颜色 2 6 2 3" xfId="16178"/>
    <cellStyle name="强调文字颜色 2 6 2 4" xfId="16179"/>
    <cellStyle name="强调文字颜色 2 6 3" xfId="16180"/>
    <cellStyle name="强调文字颜色 2 6 3 2" xfId="16181"/>
    <cellStyle name="强调文字颜色 2 6 3 2 2" xfId="16182"/>
    <cellStyle name="强调文字颜色 2 6 3 3" xfId="16183"/>
    <cellStyle name="强调文字颜色 2 6 4" xfId="16184"/>
    <cellStyle name="强调文字颜色 2 6 4 2" xfId="16185"/>
    <cellStyle name="强调文字颜色 2 6 5" xfId="16186"/>
    <cellStyle name="强调文字颜色 2 6 5 2" xfId="16187"/>
    <cellStyle name="强调文字颜色 2 6 6" xfId="16188"/>
    <cellStyle name="强调文字颜色 2 6 6 2" xfId="16189"/>
    <cellStyle name="强调文字颜色 2 6 7 2" xfId="16190"/>
    <cellStyle name="输出 6 2 2 3" xfId="16191"/>
    <cellStyle name="强调文字颜色 2 6 8" xfId="16192"/>
    <cellStyle name="强调文字颜色 2 6 9" xfId="16193"/>
    <cellStyle name="强调文字颜色 2 7" xfId="16194"/>
    <cellStyle name="强调文字颜色 2 7 2" xfId="16195"/>
    <cellStyle name="强调文字颜色 2 7 2 2" xfId="16196"/>
    <cellStyle name="强调文字颜色 2 7 2 2 2" xfId="16197"/>
    <cellStyle name="输入 8" xfId="16198"/>
    <cellStyle name="强调文字颜色 2 7 2 3" xfId="16199"/>
    <cellStyle name="强调文字颜色 2 7 2 4" xfId="16200"/>
    <cellStyle name="强调文字颜色 2 7 3 2 2" xfId="16201"/>
    <cellStyle name="强调文字颜色 2 7 3 3" xfId="16202"/>
    <cellStyle name="强调文字颜色 2 7 4 2" xfId="16203"/>
    <cellStyle name="强调文字颜色 2 7 5" xfId="16204"/>
    <cellStyle name="强调文字颜色 2 7 5 2" xfId="16205"/>
    <cellStyle name="强调文字颜色 2 7 6" xfId="16206"/>
    <cellStyle name="强调文字颜色 2 7 6 2" xfId="16207"/>
    <cellStyle name="强调文字颜色 2 7 7" xfId="16208"/>
    <cellStyle name="强调文字颜色 2 7 7 2" xfId="16209"/>
    <cellStyle name="输出 6 3 2 3" xfId="16210"/>
    <cellStyle name="强调文字颜色 2 7 8" xfId="16211"/>
    <cellStyle name="强调文字颜色 2 7 9" xfId="16212"/>
    <cellStyle name="强调文字颜色 2 8" xfId="16213"/>
    <cellStyle name="强调文字颜色 2 8 2 2" xfId="16214"/>
    <cellStyle name="强调文字颜色 2 8 2 3" xfId="16215"/>
    <cellStyle name="强调文字颜色 2 8 2 4" xfId="16216"/>
    <cellStyle name="强调文字颜色 2 8 3 2" xfId="16217"/>
    <cellStyle name="强调文字颜色 2 8 3 3" xfId="16218"/>
    <cellStyle name="强调文字颜色 2 8 4 2" xfId="16219"/>
    <cellStyle name="强调文字颜色 2 8 5 2" xfId="16220"/>
    <cellStyle name="强调文字颜色 2 8 6" xfId="16221"/>
    <cellStyle name="强调文字颜色 2 8 7 2" xfId="16222"/>
    <cellStyle name="强调文字颜色 2 8 8" xfId="16223"/>
    <cellStyle name="强调文字颜色 2 9" xfId="16224"/>
    <cellStyle name="强调文字颜色 2 9 2" xfId="16225"/>
    <cellStyle name="强调文字颜色 2 9 2 2" xfId="16226"/>
    <cellStyle name="强调文字颜色 2 9 2 2 2" xfId="16227"/>
    <cellStyle name="强调文字颜色 5 4" xfId="16228"/>
    <cellStyle name="强调文字颜色 2 9 2 3" xfId="16229"/>
    <cellStyle name="强调文字颜色 2 9 3" xfId="16230"/>
    <cellStyle name="强调文字颜色 2 9 3 2" xfId="16231"/>
    <cellStyle name="强调文字颜色 2 9 3 2 2" xfId="16232"/>
    <cellStyle name="强调文字颜色 2 9 3 3" xfId="16233"/>
    <cellStyle name="强调文字颜色 2 9 4" xfId="16234"/>
    <cellStyle name="强调文字颜色 2 9 4 2" xfId="16235"/>
    <cellStyle name="强调文字颜色 2 9 5" xfId="16236"/>
    <cellStyle name="强调文字颜色 2 9 5 2" xfId="16237"/>
    <cellStyle name="强调文字颜色 2 9 6" xfId="16238"/>
    <cellStyle name="强调文字颜色 2 9 6 2" xfId="16239"/>
    <cellStyle name="强调文字颜色 2 9 7" xfId="16240"/>
    <cellStyle name="强调文字颜色 2 9 7 2" xfId="16241"/>
    <cellStyle name="强调文字颜色 2 9 8" xfId="16242"/>
    <cellStyle name="强调文字颜色 2 9 9" xfId="16243"/>
    <cellStyle name="强调文字颜色 3 10" xfId="16244"/>
    <cellStyle name="强调文字颜色 3 10 11" xfId="16245"/>
    <cellStyle name="强调文字颜色 3 10 12" xfId="16246"/>
    <cellStyle name="强调文字颜色 3 10 2" xfId="16247"/>
    <cellStyle name="强调文字颜色 3 10 2 2" xfId="16248"/>
    <cellStyle name="强调文字颜色 3 10 2 3" xfId="16249"/>
    <cellStyle name="强调文字颜色 3 10 3" xfId="16250"/>
    <cellStyle name="强调文字颜色 3 10 3 2" xfId="16251"/>
    <cellStyle name="强调文字颜色 3 10 3 2 2" xfId="16252"/>
    <cellStyle name="强调文字颜色 3 10 3 3" xfId="16253"/>
    <cellStyle name="强调文字颜色 3 11" xfId="16254"/>
    <cellStyle name="强调文字颜色 4 13 7 2" xfId="16255"/>
    <cellStyle name="强调文字颜色 3 11 10" xfId="16256"/>
    <cellStyle name="强调文字颜色 3 11 11" xfId="16257"/>
    <cellStyle name="强调文字颜色 3 11 2" xfId="16258"/>
    <cellStyle name="强调文字颜色 3 11 2 2" xfId="16259"/>
    <cellStyle name="强调文字颜色 3 11 2 2 2" xfId="16260"/>
    <cellStyle name="适中 11 12" xfId="16261"/>
    <cellStyle name="强调文字颜色 3 11 2 3" xfId="16262"/>
    <cellStyle name="强调文字颜色 3 11 2 4" xfId="16263"/>
    <cellStyle name="强调文字颜色 3 11 3" xfId="16264"/>
    <cellStyle name="强调文字颜色 3 11 3 2" xfId="16265"/>
    <cellStyle name="强调文字颜色 3 11 3 2 2" xfId="16266"/>
    <cellStyle name="强调文字颜色 3 11 3 3" xfId="16267"/>
    <cellStyle name="强调文字颜色 3 11 4" xfId="16268"/>
    <cellStyle name="强调文字颜色 3 11 4 2" xfId="16269"/>
    <cellStyle name="强调文字颜色 3 11 5" xfId="16270"/>
    <cellStyle name="强调文字颜色 3 11 5 2" xfId="16271"/>
    <cellStyle name="强调文字颜色 3 11 6" xfId="16272"/>
    <cellStyle name="强调文字颜色 3 11 6 2" xfId="16273"/>
    <cellStyle name="强调文字颜色 3 11 7" xfId="16274"/>
    <cellStyle name="强调文字颜色 3 11 7 2" xfId="16275"/>
    <cellStyle name="强调文字颜色 3 11 8" xfId="16276"/>
    <cellStyle name="强调文字颜色 3 11 9" xfId="16277"/>
    <cellStyle name="强调文字颜色 3 12" xfId="16278"/>
    <cellStyle name="强调文字颜色 3 12 2" xfId="16279"/>
    <cellStyle name="强调文字颜色 3 12 2 2" xfId="16280"/>
    <cellStyle name="强调文字颜色 3 12 2 2 2" xfId="16281"/>
    <cellStyle name="强调文字颜色 3 12 2 3" xfId="16282"/>
    <cellStyle name="强调文字颜色 3 12 2 4" xfId="16283"/>
    <cellStyle name="强调文字颜色 3 12 3" xfId="16284"/>
    <cellStyle name="强调文字颜色 3 12 3 2" xfId="16285"/>
    <cellStyle name="强调文字颜色 3 12 3 2 2" xfId="16286"/>
    <cellStyle name="强调文字颜色 3 12 3 3" xfId="16287"/>
    <cellStyle name="强调文字颜色 3 12 4" xfId="16288"/>
    <cellStyle name="强调文字颜色 3 12 5" xfId="16289"/>
    <cellStyle name="强调文字颜色 3 12 5 2" xfId="16290"/>
    <cellStyle name="强调文字颜色 3 12 6" xfId="16291"/>
    <cellStyle name="强调文字颜色 3 12 6 2" xfId="16292"/>
    <cellStyle name="强调文字颜色 3 12 7" xfId="16293"/>
    <cellStyle name="强调文字颜色 3 12 8" xfId="16294"/>
    <cellStyle name="强调文字颜色 3 12 9" xfId="16295"/>
    <cellStyle name="强调文字颜色 3 13 2 2" xfId="16296"/>
    <cellStyle name="强调文字颜色 3 13 2 2 2" xfId="16297"/>
    <cellStyle name="强调文字颜色 3 13 2 3" xfId="16298"/>
    <cellStyle name="强调文字颜色 3 13 2 4" xfId="16299"/>
    <cellStyle name="强调文字颜色 3 13 3" xfId="16300"/>
    <cellStyle name="强调文字颜色 3 13 3 2" xfId="16301"/>
    <cellStyle name="强调文字颜色 3 13 3 2 2" xfId="16302"/>
    <cellStyle name="强调文字颜色 3 13 3 3" xfId="16303"/>
    <cellStyle name="强调文字颜色 3 13 4" xfId="16304"/>
    <cellStyle name="强调文字颜色 3 13 4 2" xfId="16305"/>
    <cellStyle name="强调文字颜色 3 13 5" xfId="16306"/>
    <cellStyle name="强调文字颜色 3 13 5 2" xfId="16307"/>
    <cellStyle name="强调文字颜色 3 13 6" xfId="16308"/>
    <cellStyle name="强调文字颜色 3 13 6 2" xfId="16309"/>
    <cellStyle name="强调文字颜色 3 13 7" xfId="16310"/>
    <cellStyle name="强调文字颜色 3 13 7 2" xfId="16311"/>
    <cellStyle name="强调文字颜色 3 13 8" xfId="16312"/>
    <cellStyle name="强调文字颜色 3 13 9" xfId="16313"/>
    <cellStyle name="强调文字颜色 3 14 2" xfId="16314"/>
    <cellStyle name="强调文字颜色 3 14 3" xfId="16315"/>
    <cellStyle name="强调文字颜色 3 15" xfId="16316"/>
    <cellStyle name="强调文字颜色 3 15 2" xfId="16317"/>
    <cellStyle name="强调文字颜色 3 16" xfId="16318"/>
    <cellStyle name="强调文字颜色 3 2 10" xfId="16319"/>
    <cellStyle name="强调文字颜色 3 2 11" xfId="16320"/>
    <cellStyle name="强调文字颜色 3 2 12" xfId="16321"/>
    <cellStyle name="强调文字颜色 3 2 2" xfId="16322"/>
    <cellStyle name="强调文字颜色 3 2 2 2" xfId="16323"/>
    <cellStyle name="强调文字颜色 3 2 2 2 2 3" xfId="16324"/>
    <cellStyle name="强调文字颜色 3 2 2 3" xfId="16325"/>
    <cellStyle name="强调文字颜色 3 2 2 4" xfId="16326"/>
    <cellStyle name="强调文字颜色 3 2 2 5" xfId="16327"/>
    <cellStyle name="强调文字颜色 3 2 3" xfId="16328"/>
    <cellStyle name="强调文字颜色 3 2 3 2" xfId="16329"/>
    <cellStyle name="强调文字颜色 3 2 3 2 2" xfId="16330"/>
    <cellStyle name="强调文字颜色 3 2 3 3" xfId="16331"/>
    <cellStyle name="强调文字颜色 3 2 4" xfId="16332"/>
    <cellStyle name="强调文字颜色 3 2 4 2" xfId="16333"/>
    <cellStyle name="强调文字颜色 3 2 4 2 2" xfId="16334"/>
    <cellStyle name="强调文字颜色 3 2 4 3" xfId="16335"/>
    <cellStyle name="强调文字颜色 3 2 7 2" xfId="16336"/>
    <cellStyle name="强调文字颜色 3 2 8 2" xfId="16337"/>
    <cellStyle name="强调文字颜色 3 2 9" xfId="16338"/>
    <cellStyle name="强调文字颜色 3 3 12" xfId="16339"/>
    <cellStyle name="强调文字颜色 3 3 2" xfId="16340"/>
    <cellStyle name="强调文字颜色 3 3 2 2" xfId="16341"/>
    <cellStyle name="强调文字颜色 3 3 2 3" xfId="16342"/>
    <cellStyle name="强调文字颜色 3 3 2 4" xfId="16343"/>
    <cellStyle name="强调文字颜色 3 3 3" xfId="16344"/>
    <cellStyle name="强调文字颜色 3 3 3 2" xfId="16345"/>
    <cellStyle name="强调文字颜色 3 3 3 2 2" xfId="16346"/>
    <cellStyle name="强调文字颜色 3 3 3 3" xfId="16347"/>
    <cellStyle name="强调文字颜色 3 3 4" xfId="16348"/>
    <cellStyle name="强调文字颜色 3 3 4 2" xfId="16349"/>
    <cellStyle name="强调文字颜色 3 3 9" xfId="16350"/>
    <cellStyle name="强调文字颜色 3 4 10" xfId="16351"/>
    <cellStyle name="强调文字颜色 3 4 2 2" xfId="16352"/>
    <cellStyle name="强调文字颜色 3 4 2 3" xfId="16353"/>
    <cellStyle name="强调文字颜色 3 4 2 4" xfId="16354"/>
    <cellStyle name="强调文字颜色 3 4 3" xfId="16355"/>
    <cellStyle name="强调文字颜色 3 4 3 2" xfId="16356"/>
    <cellStyle name="强调文字颜色 3 4 3 3" xfId="16357"/>
    <cellStyle name="强调文字颜色 3 4 4" xfId="16358"/>
    <cellStyle name="强调文字颜色 3 4 4 2" xfId="16359"/>
    <cellStyle name="强调文字颜色 3 4 6 2" xfId="16360"/>
    <cellStyle name="强调文字颜色 3 4 7 2" xfId="16361"/>
    <cellStyle name="强调文字颜色 3 4 9" xfId="16362"/>
    <cellStyle name="强调文字颜色 3 5 10" xfId="16363"/>
    <cellStyle name="强调文字颜色 3 5 2" xfId="16364"/>
    <cellStyle name="强调文字颜色 3 5 2 2" xfId="16365"/>
    <cellStyle name="强调文字颜色 3 5 2 2 2" xfId="16366"/>
    <cellStyle name="强调文字颜色 3 5 2 3" xfId="16367"/>
    <cellStyle name="强调文字颜色 3 5 2 4" xfId="16368"/>
    <cellStyle name="强调文字颜色 3 5 3" xfId="16369"/>
    <cellStyle name="强调文字颜色 3 5 3 2" xfId="16370"/>
    <cellStyle name="强调文字颜色 3 5 3 3" xfId="16371"/>
    <cellStyle name="强调文字颜色 3 5 4" xfId="16372"/>
    <cellStyle name="强调文字颜色 3 5 9" xfId="16373"/>
    <cellStyle name="强调文字颜色 3 6" xfId="16374"/>
    <cellStyle name="强调文字颜色 3 6 10" xfId="16375"/>
    <cellStyle name="强调文字颜色 3 6 11" xfId="16376"/>
    <cellStyle name="强调文字颜色 3 6 12" xfId="16377"/>
    <cellStyle name="强调文字颜色 3 6 2" xfId="16378"/>
    <cellStyle name="强调文字颜色 3 6 2 2" xfId="16379"/>
    <cellStyle name="强调文字颜色 3 6 2 2 2" xfId="16380"/>
    <cellStyle name="强调文字颜色 3 6 2 3" xfId="16381"/>
    <cellStyle name="强调文字颜色 3 6 2 4" xfId="16382"/>
    <cellStyle name="强调文字颜色 3 6 3" xfId="16383"/>
    <cellStyle name="强调文字颜色 3 6 3 2" xfId="16384"/>
    <cellStyle name="强调文字颜色 3 6 3 2 2" xfId="16385"/>
    <cellStyle name="强调文字颜色 3 6 4" xfId="16386"/>
    <cellStyle name="强调文字颜色 3 6 4 2" xfId="16387"/>
    <cellStyle name="强调文字颜色 3 6 5 2" xfId="16388"/>
    <cellStyle name="强调文字颜色 3 6 6 2" xfId="16389"/>
    <cellStyle name="强调文字颜色 3 6 7 2" xfId="16390"/>
    <cellStyle name="输出 7 2 2 3" xfId="16391"/>
    <cellStyle name="强调文字颜色 3 6 8" xfId="16392"/>
    <cellStyle name="强调文字颜色 3 6 9" xfId="16393"/>
    <cellStyle name="强调文字颜色 3 7" xfId="16394"/>
    <cellStyle name="强调文字颜色 3 7 10" xfId="16395"/>
    <cellStyle name="强调文字颜色 3 7 12" xfId="16396"/>
    <cellStyle name="强调文字颜色 3 7 2 2" xfId="16397"/>
    <cellStyle name="强调文字颜色 3 7 2 2 2" xfId="16398"/>
    <cellStyle name="强调文字颜色 3 7 2 3" xfId="16399"/>
    <cellStyle name="强调文字颜色 3 7 2 4" xfId="16400"/>
    <cellStyle name="强调文字颜色 3 7 3 2" xfId="16401"/>
    <cellStyle name="强调文字颜色 3 7 3 3" xfId="16402"/>
    <cellStyle name="强调文字颜色 3 7 4" xfId="16403"/>
    <cellStyle name="强调文字颜色 3 7 4 2" xfId="16404"/>
    <cellStyle name="强调文字颜色 3 7 5 2" xfId="16405"/>
    <cellStyle name="强调文字颜色 3 7 6" xfId="16406"/>
    <cellStyle name="强调文字颜色 3 7 6 2" xfId="16407"/>
    <cellStyle name="强调文字颜色 3 7 7" xfId="16408"/>
    <cellStyle name="强调文字颜色 3 7 7 2" xfId="16409"/>
    <cellStyle name="输出 7 3 2 3" xfId="16410"/>
    <cellStyle name="强调文字颜色 3 7 8" xfId="16411"/>
    <cellStyle name="强调文字颜色 3 7 9" xfId="16412"/>
    <cellStyle name="强调文字颜色 3 8" xfId="16413"/>
    <cellStyle name="强调文字颜色 3 8 2" xfId="16414"/>
    <cellStyle name="强调文字颜色 3 8 2 2" xfId="16415"/>
    <cellStyle name="强调文字颜色 3 8 2 2 2" xfId="16416"/>
    <cellStyle name="强调文字颜色 3 8 2 3" xfId="16417"/>
    <cellStyle name="强调文字颜色 3 8 2 4" xfId="16418"/>
    <cellStyle name="强调文字颜色 3 8 6 2" xfId="16419"/>
    <cellStyle name="强调文字颜色 3 8 7 2" xfId="16420"/>
    <cellStyle name="强调文字颜色 3 8 8" xfId="16421"/>
    <cellStyle name="强调文字颜色 3 9" xfId="16422"/>
    <cellStyle name="强调文字颜色 3 9 10" xfId="16423"/>
    <cellStyle name="强调文字颜色 3 9 2" xfId="16424"/>
    <cellStyle name="强调文字颜色 3 9 2 2" xfId="16425"/>
    <cellStyle name="强调文字颜色 3 9 2 2 2" xfId="16426"/>
    <cellStyle name="强调文字颜色 3 9 2 3" xfId="16427"/>
    <cellStyle name="强调文字颜色 3 9 2 4" xfId="16428"/>
    <cellStyle name="强调文字颜色 3 9 5 2" xfId="16429"/>
    <cellStyle name="强调文字颜色 3 9 6 2" xfId="16430"/>
    <cellStyle name="强调文字颜色 3 9 7" xfId="16431"/>
    <cellStyle name="强调文字颜色 3 9 7 2" xfId="16432"/>
    <cellStyle name="强调文字颜色 3 9 8" xfId="16433"/>
    <cellStyle name="强调文字颜色 3 9 9" xfId="16434"/>
    <cellStyle name="强调文字颜色 4 10" xfId="16435"/>
    <cellStyle name="强调文字颜色 4 10 11" xfId="16436"/>
    <cellStyle name="强调文字颜色 4 10 12" xfId="16437"/>
    <cellStyle name="强调文字颜色 4 10 2" xfId="16438"/>
    <cellStyle name="强调文字颜色 4 10 2 2" xfId="16439"/>
    <cellStyle name="强调文字颜色 4 10 2 2 2" xfId="16440"/>
    <cellStyle name="强调文字颜色 4 10 2 3" xfId="16441"/>
    <cellStyle name="强调文字颜色 4 11" xfId="16442"/>
    <cellStyle name="强调文字颜色 4 11 10" xfId="16443"/>
    <cellStyle name="强调文字颜色 4 11 12" xfId="16444"/>
    <cellStyle name="强调文字颜色 4 11 2" xfId="16445"/>
    <cellStyle name="强调文字颜色 4 11 2 2" xfId="16446"/>
    <cellStyle name="强调文字颜色 4 11 2 3" xfId="16447"/>
    <cellStyle name="强调文字颜色 4 11 3 2 2" xfId="16448"/>
    <cellStyle name="强调文字颜色 4 11 3 3" xfId="16449"/>
    <cellStyle name="强调文字颜色 4 11 4 2" xfId="16450"/>
    <cellStyle name="强调文字颜色 4 11 5" xfId="16451"/>
    <cellStyle name="强调文字颜色 4 11 5 2" xfId="16452"/>
    <cellStyle name="强调文字颜色 4 11 6" xfId="16453"/>
    <cellStyle name="强调文字颜色 4 11 6 2" xfId="16454"/>
    <cellStyle name="强调文字颜色 4 11 7 2" xfId="16455"/>
    <cellStyle name="强调文字颜色 4 11 8" xfId="16456"/>
    <cellStyle name="强调文字颜色 4 11 9" xfId="16457"/>
    <cellStyle name="强调文字颜色 4 12" xfId="16458"/>
    <cellStyle name="强调文字颜色 4 12 10" xfId="16459"/>
    <cellStyle name="强调文字颜色 4 12 11" xfId="16460"/>
    <cellStyle name="强调文字颜色 4 12 12" xfId="16461"/>
    <cellStyle name="强调文字颜色 4 12 2" xfId="16462"/>
    <cellStyle name="强调文字颜色 4 12 2 2" xfId="16463"/>
    <cellStyle name="强调文字颜色 4 12 2 2 2" xfId="16464"/>
    <cellStyle name="强调文字颜色 4 12 2 3" xfId="16465"/>
    <cellStyle name="强调文字颜色 4 12 2 4" xfId="16466"/>
    <cellStyle name="强调文字颜色 4 12 3 2" xfId="16467"/>
    <cellStyle name="强调文字颜色 4 12 3 2 2" xfId="16468"/>
    <cellStyle name="强调文字颜色 4 12 3 3" xfId="16469"/>
    <cellStyle name="强调文字颜色 4 12 4" xfId="16470"/>
    <cellStyle name="强调文字颜色 4 12 4 2" xfId="16471"/>
    <cellStyle name="强调文字颜色 4 12 5" xfId="16472"/>
    <cellStyle name="强调文字颜色 4 12 5 2" xfId="16473"/>
    <cellStyle name="强调文字颜色 4 12 6" xfId="16474"/>
    <cellStyle name="强调文字颜色 4 12 7" xfId="16475"/>
    <cellStyle name="强调文字颜色 4 12 7 2" xfId="16476"/>
    <cellStyle name="强调文字颜色 4 12 8" xfId="16477"/>
    <cellStyle name="强调文字颜色 4 12 9" xfId="16478"/>
    <cellStyle name="强调文字颜色 4 13" xfId="16479"/>
    <cellStyle name="强调文字颜色 4 13 10" xfId="16480"/>
    <cellStyle name="强调文字颜色 4 13 12" xfId="16481"/>
    <cellStyle name="强调文字颜色 4 13 2" xfId="16482"/>
    <cellStyle name="强调文字颜色 4 13 3 2 2" xfId="16483"/>
    <cellStyle name="强调文字颜色 4 13 3 3" xfId="16484"/>
    <cellStyle name="强调文字颜色 4 13 4" xfId="16485"/>
    <cellStyle name="强调文字颜色 4 13 4 2" xfId="16486"/>
    <cellStyle name="强调文字颜色 4 13 5 2" xfId="16487"/>
    <cellStyle name="强调文字颜色 4 13 6" xfId="16488"/>
    <cellStyle name="强调文字颜色 4 13 6 2" xfId="16489"/>
    <cellStyle name="强调文字颜色 4 13 7" xfId="16490"/>
    <cellStyle name="强调文字颜色 4 13 8" xfId="16491"/>
    <cellStyle name="强调文字颜色 4 13 9" xfId="16492"/>
    <cellStyle name="强调文字颜色 4 14" xfId="16493"/>
    <cellStyle name="强调文字颜色 4 14 2" xfId="16494"/>
    <cellStyle name="强调文字颜色 4 14 2 2" xfId="16495"/>
    <cellStyle name="强调文字颜色 4 14 3" xfId="16496"/>
    <cellStyle name="强调文字颜色 4 15" xfId="16497"/>
    <cellStyle name="强调文字颜色 4 15 2" xfId="16498"/>
    <cellStyle name="强调文字颜色 4 16" xfId="16499"/>
    <cellStyle name="强调文字颜色 4 2" xfId="16500"/>
    <cellStyle name="强调文字颜色 4 2 10" xfId="16501"/>
    <cellStyle name="强调文字颜色 4 2 11" xfId="16502"/>
    <cellStyle name="强调文字颜色 4 2 12" xfId="16503"/>
    <cellStyle name="强调文字颜色 4 2 2 2 2 2" xfId="16504"/>
    <cellStyle name="强调文字颜色 4 2 2 2 2 3" xfId="16505"/>
    <cellStyle name="强调文字颜色 4 2 2 2 3" xfId="16506"/>
    <cellStyle name="强调文字颜色 4 2 2 4" xfId="16507"/>
    <cellStyle name="强调文字颜色 4 2 2 5" xfId="16508"/>
    <cellStyle name="强调文字颜色 4 2 3" xfId="16509"/>
    <cellStyle name="强调文字颜色 4 2 3 3" xfId="16510"/>
    <cellStyle name="输出 5 14 2" xfId="16511"/>
    <cellStyle name="强调文字颜色 4 2 4" xfId="16512"/>
    <cellStyle name="强调文字颜色 4 2 4 2" xfId="16513"/>
    <cellStyle name="强调文字颜色 4 2 4 2 2" xfId="16514"/>
    <cellStyle name="强调文字颜色 4 2 7" xfId="16515"/>
    <cellStyle name="强调文字颜色 4 2 8 2" xfId="16516"/>
    <cellStyle name="强调文字颜色 4 2 9" xfId="16517"/>
    <cellStyle name="强调文字颜色 4 3" xfId="16518"/>
    <cellStyle name="强调文字颜色 4 3 12" xfId="16519"/>
    <cellStyle name="强调文字颜色 4 3 2" xfId="16520"/>
    <cellStyle name="强调文字颜色 4 3 2 2" xfId="16521"/>
    <cellStyle name="强调文字颜色 4 3 2 2 2" xfId="16522"/>
    <cellStyle name="强调文字颜色 4 3 2 3" xfId="16523"/>
    <cellStyle name="强调文字颜色 4 3 2 4" xfId="16524"/>
    <cellStyle name="强调文字颜色 4 3 3" xfId="16525"/>
    <cellStyle name="强调文字颜色 4 3 3 2" xfId="16526"/>
    <cellStyle name="强调文字颜色 4 3 3 2 2" xfId="16527"/>
    <cellStyle name="强调文字颜色 4 3 3 3" xfId="16528"/>
    <cellStyle name="强调文字颜色 4 3 4" xfId="16529"/>
    <cellStyle name="强调文字颜色 4 3 4 2" xfId="16530"/>
    <cellStyle name="强调文字颜色 4 3 5 2" xfId="16531"/>
    <cellStyle name="强调文字颜色 4 3 6" xfId="16532"/>
    <cellStyle name="强调文字颜色 4 3 6 2" xfId="16533"/>
    <cellStyle name="强调文字颜色 4 3 7 2" xfId="16534"/>
    <cellStyle name="强调文字颜色 4 4" xfId="16535"/>
    <cellStyle name="强调文字颜色 4 4 10" xfId="16536"/>
    <cellStyle name="强调文字颜色 4 4 11" xfId="16537"/>
    <cellStyle name="强调文字颜色 4 4 12" xfId="16538"/>
    <cellStyle name="强调文字颜色 4 4 2" xfId="16539"/>
    <cellStyle name="强调文字颜色 4 4 2 2 2" xfId="16540"/>
    <cellStyle name="强调文字颜色 4 4 2 3" xfId="16541"/>
    <cellStyle name="强调文字颜色 4 4 2 4" xfId="16542"/>
    <cellStyle name="强调文字颜色 4 4 3" xfId="16543"/>
    <cellStyle name="强调文字颜色 4 4 3 2 2" xfId="16544"/>
    <cellStyle name="强调文字颜色 4 4 3 3" xfId="16545"/>
    <cellStyle name="强调文字颜色 4 4 4" xfId="16546"/>
    <cellStyle name="强调文字颜色 4 4 5" xfId="16547"/>
    <cellStyle name="强调文字颜色 4 4 6" xfId="16548"/>
    <cellStyle name="强调文字颜色 4 4 7" xfId="16549"/>
    <cellStyle name="强调文字颜色 4 4 8" xfId="16550"/>
    <cellStyle name="强调文字颜色 4 4 9" xfId="16551"/>
    <cellStyle name="强调文字颜色 4 5" xfId="16552"/>
    <cellStyle name="强调文字颜色 4 5 10" xfId="16553"/>
    <cellStyle name="强调文字颜色 4 5 2" xfId="16554"/>
    <cellStyle name="强调文字颜色 4 5 2 2 2" xfId="16555"/>
    <cellStyle name="强调文字颜色 4 5 2 3" xfId="16556"/>
    <cellStyle name="强调文字颜色 4 5 2 4" xfId="16557"/>
    <cellStyle name="强调文字颜色 4 5 3" xfId="16558"/>
    <cellStyle name="强调文字颜色 4 5 3 2 2" xfId="16559"/>
    <cellStyle name="强调文字颜色 4 5 3 3" xfId="16560"/>
    <cellStyle name="强调文字颜色 4 5 4" xfId="16561"/>
    <cellStyle name="强调文字颜色 4 5 6" xfId="16562"/>
    <cellStyle name="强调文字颜色 4 5 7" xfId="16563"/>
    <cellStyle name="强调文字颜色 4 5 8" xfId="16564"/>
    <cellStyle name="强调文字颜色 4 5 9" xfId="16565"/>
    <cellStyle name="强调文字颜色 4 6" xfId="16566"/>
    <cellStyle name="强调文字颜色 4 6 12" xfId="16567"/>
    <cellStyle name="输出 11 2 5" xfId="16568"/>
    <cellStyle name="强调文字颜色 4 6 2" xfId="16569"/>
    <cellStyle name="强调文字颜色 4 6 2 3" xfId="16570"/>
    <cellStyle name="强调文字颜色 4 6 3" xfId="16571"/>
    <cellStyle name="强调文字颜色 4 6 4" xfId="16572"/>
    <cellStyle name="强调文字颜色 4 6 5" xfId="16573"/>
    <cellStyle name="强调文字颜色 4 6 6" xfId="16574"/>
    <cellStyle name="强调文字颜色 4 6 7" xfId="16575"/>
    <cellStyle name="强调文字颜色 4 6 8" xfId="16576"/>
    <cellStyle name="强调文字颜色 4 6 9" xfId="16577"/>
    <cellStyle name="强调文字颜色 4 7" xfId="16578"/>
    <cellStyle name="强调文字颜色 4 7 2" xfId="16579"/>
    <cellStyle name="强调文字颜色 4 7 2 2 2" xfId="16580"/>
    <cellStyle name="强调文字颜色 4 7 2 3" xfId="16581"/>
    <cellStyle name="输出 6 13 2" xfId="16582"/>
    <cellStyle name="强调文字颜色 4 7 3" xfId="16583"/>
    <cellStyle name="强调文字颜色 4 7 3 2 2" xfId="16584"/>
    <cellStyle name="强调文字颜色 4 7 3 3" xfId="16585"/>
    <cellStyle name="输出 6 14 2" xfId="16586"/>
    <cellStyle name="强调文字颜色 4 7 4" xfId="16587"/>
    <cellStyle name="强调文字颜色 4 7 5" xfId="16588"/>
    <cellStyle name="强调文字颜色 4 7 6" xfId="16589"/>
    <cellStyle name="强调文字颜色 4 8" xfId="16590"/>
    <cellStyle name="强调文字颜色 4 8 10" xfId="16591"/>
    <cellStyle name="强调文字颜色 4 8 11" xfId="16592"/>
    <cellStyle name="强调文字颜色 4 8 12" xfId="16593"/>
    <cellStyle name="强调文字颜色 4 8 2 2 2" xfId="16594"/>
    <cellStyle name="强调文字颜色 4 8 2 3" xfId="16595"/>
    <cellStyle name="强调文字颜色 4 8 8" xfId="16596"/>
    <cellStyle name="强调文字颜色 4 9" xfId="16597"/>
    <cellStyle name="强调文字颜色 4 9 10" xfId="16598"/>
    <cellStyle name="强调文字颜色 4 9 11" xfId="16599"/>
    <cellStyle name="强调文字颜色 4 9 12" xfId="16600"/>
    <cellStyle name="强调文字颜色 4 9 2" xfId="16601"/>
    <cellStyle name="强调文字颜色 4 9 2 2 2" xfId="16602"/>
    <cellStyle name="强调文字颜色 4 9 2 3" xfId="16603"/>
    <cellStyle name="强调文字颜色 4 9 6" xfId="16604"/>
    <cellStyle name="强调文字颜色 4 9 8" xfId="16605"/>
    <cellStyle name="强调文字颜色 4 9 9" xfId="16606"/>
    <cellStyle name="强调文字颜色 5 10" xfId="16607"/>
    <cellStyle name="强调文字颜色 5 10 10" xfId="16608"/>
    <cellStyle name="强调文字颜色 5 10 12" xfId="16609"/>
    <cellStyle name="强调文字颜色 5 10 2" xfId="16610"/>
    <cellStyle name="强调文字颜色 5 10 2 2 2" xfId="16611"/>
    <cellStyle name="强调文字颜色 5 10 2 3" xfId="16612"/>
    <cellStyle name="强调文字颜色 5 10 3" xfId="16613"/>
    <cellStyle name="强调文字颜色 5 10 3 2" xfId="16614"/>
    <cellStyle name="强调文字颜色 5 10 3 2 2" xfId="16615"/>
    <cellStyle name="强调文字颜色 5 10 3 3" xfId="16616"/>
    <cellStyle name="强调文字颜色 5 11" xfId="16617"/>
    <cellStyle name="强调文字颜色 5 11 2" xfId="16618"/>
    <cellStyle name="强调文字颜色 5 11 2 2" xfId="16619"/>
    <cellStyle name="强调文字颜色 5 11 2 2 2" xfId="16620"/>
    <cellStyle name="强调文字颜色 5 11 2 3" xfId="16621"/>
    <cellStyle name="强调文字颜色 5 11 3" xfId="16622"/>
    <cellStyle name="强调文字颜色 5 11 3 2" xfId="16623"/>
    <cellStyle name="强调文字颜色 5 11 3 3" xfId="16624"/>
    <cellStyle name="强调文字颜色 5 12" xfId="16625"/>
    <cellStyle name="强调文字颜色 5 12 10" xfId="16626"/>
    <cellStyle name="强调文字颜色 5 12 11" xfId="16627"/>
    <cellStyle name="强调文字颜色 5 12 2" xfId="16628"/>
    <cellStyle name="强调文字颜色 5 12 2 2" xfId="16629"/>
    <cellStyle name="强调文字颜色 5 12 2 2 2" xfId="16630"/>
    <cellStyle name="强调文字颜色 5 12 2 3" xfId="16631"/>
    <cellStyle name="强调文字颜色 5 12 2 4" xfId="16632"/>
    <cellStyle name="强调文字颜色 5 12 3" xfId="16633"/>
    <cellStyle name="强调文字颜色 5 12 3 2" xfId="16634"/>
    <cellStyle name="强调文字颜色 5 12 3 2 2" xfId="16635"/>
    <cellStyle name="强调文字颜色 5 12 3 3" xfId="16636"/>
    <cellStyle name="强调文字颜色 5 13" xfId="16637"/>
    <cellStyle name="强调文字颜色 5 13 11" xfId="16638"/>
    <cellStyle name="强调文字颜色 5 13 2 3" xfId="16639"/>
    <cellStyle name="强调文字颜色 5 13 2 4" xfId="16640"/>
    <cellStyle name="强调文字颜色 5 13 3" xfId="16641"/>
    <cellStyle name="输出 8 13" xfId="16642"/>
    <cellStyle name="强调文字颜色 5 13 3 2" xfId="16643"/>
    <cellStyle name="输出 8 13 2" xfId="16644"/>
    <cellStyle name="强调文字颜色 5 13 3 3" xfId="16645"/>
    <cellStyle name="强调文字颜色 5 14" xfId="16646"/>
    <cellStyle name="强调文字颜色 5 14 2 2" xfId="16647"/>
    <cellStyle name="强调文字颜色 5 14 3" xfId="16648"/>
    <cellStyle name="强调文字颜色 5 15" xfId="16649"/>
    <cellStyle name="强调文字颜色 5 15 2" xfId="16650"/>
    <cellStyle name="强调文字颜色 5 16" xfId="16651"/>
    <cellStyle name="强调文字颜色 5 2" xfId="16652"/>
    <cellStyle name="强调文字颜色 5 2 10" xfId="16653"/>
    <cellStyle name="强调文字颜色 5 2 11" xfId="16654"/>
    <cellStyle name="强调文字颜色 5 2 2" xfId="16655"/>
    <cellStyle name="强调文字颜色 5 2 2 2" xfId="16656"/>
    <cellStyle name="强调文字颜色 5 2 2 5" xfId="16657"/>
    <cellStyle name="强调文字颜色 5 2 3" xfId="16658"/>
    <cellStyle name="强调文字颜色 5 2 3 2" xfId="16659"/>
    <cellStyle name="强调文字颜色 5 2 3 2 2" xfId="16660"/>
    <cellStyle name="强调文字颜色 5 2 4 2" xfId="16661"/>
    <cellStyle name="强调文字颜色 5 2 4 2 2" xfId="16662"/>
    <cellStyle name="强调文字颜色 5 2 4 3" xfId="16663"/>
    <cellStyle name="强调文字颜色 5 2 6 2" xfId="16664"/>
    <cellStyle name="输出 6 3 2" xfId="16665"/>
    <cellStyle name="强调文字颜色 5 2 7" xfId="16666"/>
    <cellStyle name="输出 6 4" xfId="16667"/>
    <cellStyle name="强调文字颜色 5 2 7 2" xfId="16668"/>
    <cellStyle name="输出 6 4 2" xfId="16669"/>
    <cellStyle name="强调文字颜色 5 3" xfId="16670"/>
    <cellStyle name="强调文字颜色 5 3 11" xfId="16671"/>
    <cellStyle name="强调文字颜色 5 3 12" xfId="16672"/>
    <cellStyle name="强调文字颜色 5 3 2" xfId="16673"/>
    <cellStyle name="强调文字颜色 5 3 2 2" xfId="16674"/>
    <cellStyle name="强调文字颜色 5 3 2 2 2" xfId="16675"/>
    <cellStyle name="强调文字颜色 5 3 2 4" xfId="16676"/>
    <cellStyle name="强调文字颜色 5 3 3" xfId="16677"/>
    <cellStyle name="强调文字颜色 5 3 3 2" xfId="16678"/>
    <cellStyle name="强调文字颜色 5 3 3 2 2" xfId="16679"/>
    <cellStyle name="强调文字颜色 5 3 3 3" xfId="16680"/>
    <cellStyle name="强调文字颜色 5 3 4 2" xfId="16681"/>
    <cellStyle name="强调文字颜色 5 3 5 2" xfId="16682"/>
    <cellStyle name="输出 7 2 2" xfId="16683"/>
    <cellStyle name="强调文字颜色 5 3 6" xfId="16684"/>
    <cellStyle name="输出 7 3" xfId="16685"/>
    <cellStyle name="强调文字颜色 5 3 6 2" xfId="16686"/>
    <cellStyle name="输出 7 3 2" xfId="16687"/>
    <cellStyle name="强调文字颜色 5 3 7 2" xfId="16688"/>
    <cellStyle name="输出 7 4 2" xfId="16689"/>
    <cellStyle name="强调文字颜色 5 3 9" xfId="16690"/>
    <cellStyle name="输出 7 6" xfId="16691"/>
    <cellStyle name="强调文字颜色 5 4 12" xfId="16692"/>
    <cellStyle name="强调文字颜色 5 4 2" xfId="16693"/>
    <cellStyle name="强调文字颜色 5 4 2 2" xfId="16694"/>
    <cellStyle name="强调文字颜色 5 4 2 2 2" xfId="16695"/>
    <cellStyle name="强调文字颜色 5 4 2 3" xfId="16696"/>
    <cellStyle name="强调文字颜色 5 4 2 4" xfId="16697"/>
    <cellStyle name="强调文字颜色 5 4 3" xfId="16698"/>
    <cellStyle name="强调文字颜色 5 4 3 2" xfId="16699"/>
    <cellStyle name="强调文字颜色 5 4 3 3" xfId="16700"/>
    <cellStyle name="强调文字颜色 5 4 4" xfId="16701"/>
    <cellStyle name="强调文字颜色 5 4 4 2" xfId="16702"/>
    <cellStyle name="强调文字颜色 5 4 5 2" xfId="16703"/>
    <cellStyle name="输出 8 2 2" xfId="16704"/>
    <cellStyle name="强调文字颜色 5 4 6" xfId="16705"/>
    <cellStyle name="输出 8 3" xfId="16706"/>
    <cellStyle name="强调文字颜色 5 4 6 2" xfId="16707"/>
    <cellStyle name="输出 8 3 2" xfId="16708"/>
    <cellStyle name="强调文字颜色 5 4 7" xfId="16709"/>
    <cellStyle name="输出 8 4" xfId="16710"/>
    <cellStyle name="强调文字颜色 5 4 7 2" xfId="16711"/>
    <cellStyle name="输出 8 4 2" xfId="16712"/>
    <cellStyle name="强调文字颜色 5 4 8" xfId="16713"/>
    <cellStyle name="输出 8 5" xfId="16714"/>
    <cellStyle name="强调文字颜色 5 4 9" xfId="16715"/>
    <cellStyle name="输出 8 6" xfId="16716"/>
    <cellStyle name="强调文字颜色 5 5" xfId="16717"/>
    <cellStyle name="强调文字颜色 5 5 11" xfId="16718"/>
    <cellStyle name="强调文字颜色 5 5 2" xfId="16719"/>
    <cellStyle name="样式 1 2 4" xfId="16720"/>
    <cellStyle name="强调文字颜色 5 5 2 2" xfId="16721"/>
    <cellStyle name="强调文字颜色 5 5 2 2 2" xfId="16722"/>
    <cellStyle name="强调文字颜色 5 5 2 3" xfId="16723"/>
    <cellStyle name="强调文字颜色 5 5 2 4" xfId="16724"/>
    <cellStyle name="强调文字颜色 5 5 3" xfId="16725"/>
    <cellStyle name="样式 1 2 5" xfId="16726"/>
    <cellStyle name="强调文字颜色 5 5 3 2" xfId="16727"/>
    <cellStyle name="强调文字颜色 5 5 3 2 2" xfId="16728"/>
    <cellStyle name="强调文字颜色 5 5 3 3" xfId="16729"/>
    <cellStyle name="强调文字颜色 5 5 4" xfId="16730"/>
    <cellStyle name="样式 1 2 6" xfId="16731"/>
    <cellStyle name="强调文字颜色 5 5 4 2" xfId="16732"/>
    <cellStyle name="强调文字颜色 5 5 5" xfId="16733"/>
    <cellStyle name="输出 9 2" xfId="16734"/>
    <cellStyle name="样式 1 2 7" xfId="16735"/>
    <cellStyle name="强调文字颜色 5 5 5 2" xfId="16736"/>
    <cellStyle name="输出 9 2 2" xfId="16737"/>
    <cellStyle name="强调文字颜色 5 5 6" xfId="16738"/>
    <cellStyle name="输出 9 3" xfId="16739"/>
    <cellStyle name="样式 1 2 8" xfId="16740"/>
    <cellStyle name="强调文字颜色 5 5 6 2" xfId="16741"/>
    <cellStyle name="输出 9 3 2" xfId="16742"/>
    <cellStyle name="强调文字颜色 5 5 7" xfId="16743"/>
    <cellStyle name="输出 9 4" xfId="16744"/>
    <cellStyle name="样式 1 2 9" xfId="16745"/>
    <cellStyle name="强调文字颜色 5 5 7 2" xfId="16746"/>
    <cellStyle name="输出 9 4 2" xfId="16747"/>
    <cellStyle name="强调文字颜色 5 5 8" xfId="16748"/>
    <cellStyle name="输出 9 5" xfId="16749"/>
    <cellStyle name="强调文字颜色 5 5 9" xfId="16750"/>
    <cellStyle name="输出 9 6" xfId="16751"/>
    <cellStyle name="强调文字颜色 5 6" xfId="16752"/>
    <cellStyle name="强调文字颜色 5 6 10" xfId="16753"/>
    <cellStyle name="强调文字颜色 5 6 11" xfId="16754"/>
    <cellStyle name="强调文字颜色 5 6 12" xfId="16755"/>
    <cellStyle name="强调文字颜色 5 6 2 2" xfId="16756"/>
    <cellStyle name="强调文字颜色 5 6 2 3" xfId="16757"/>
    <cellStyle name="强调文字颜色 5 6 2 4" xfId="16758"/>
    <cellStyle name="强调文字颜色 5 6 3 2 2" xfId="16759"/>
    <cellStyle name="强调文字颜色 5 6 4 2" xfId="16760"/>
    <cellStyle name="强调文字颜色 5 6 5" xfId="16761"/>
    <cellStyle name="强调文字颜色 5 6 5 2" xfId="16762"/>
    <cellStyle name="强调文字颜色 5 6 6" xfId="16763"/>
    <cellStyle name="强调文字颜色 5 6 6 2" xfId="16764"/>
    <cellStyle name="强调文字颜色 5 6 7" xfId="16765"/>
    <cellStyle name="强调文字颜色 5 6 7 2" xfId="16766"/>
    <cellStyle name="输出 9 2 2 3" xfId="16767"/>
    <cellStyle name="强调文字颜色 5 6 8" xfId="16768"/>
    <cellStyle name="强调文字颜色 5 6 9" xfId="16769"/>
    <cellStyle name="强调文字颜色 5 7" xfId="16770"/>
    <cellStyle name="强调文字颜色 5 7 2" xfId="16771"/>
    <cellStyle name="强调文字颜色 5 7 2 2" xfId="16772"/>
    <cellStyle name="强调文字颜色 5 7 2 2 2" xfId="16773"/>
    <cellStyle name="注释 8 5" xfId="16774"/>
    <cellStyle name="强调文字颜色 5 7 2 3" xfId="16775"/>
    <cellStyle name="强调文字颜色 5 7 2 4" xfId="16776"/>
    <cellStyle name="强调文字颜色 5 7 3 2" xfId="16777"/>
    <cellStyle name="强调文字颜色 5 7 3 2 2" xfId="16778"/>
    <cellStyle name="强调文字颜色 5 7 3 3" xfId="16779"/>
    <cellStyle name="强调文字颜色 5 7 4" xfId="16780"/>
    <cellStyle name="强调文字颜色 5 7 5" xfId="16781"/>
    <cellStyle name="强调文字颜色 5 7 5 2" xfId="16782"/>
    <cellStyle name="强调文字颜色 5 7 6" xfId="16783"/>
    <cellStyle name="强调文字颜色 5 8" xfId="16784"/>
    <cellStyle name="强调文字颜色 5 8 11" xfId="16785"/>
    <cellStyle name="强调文字颜色 5 8 12" xfId="16786"/>
    <cellStyle name="强调文字颜色 5 8 2 2" xfId="16787"/>
    <cellStyle name="强调文字颜色 5 8 2 2 2" xfId="16788"/>
    <cellStyle name="强调文字颜色 5 8 2 3" xfId="16789"/>
    <cellStyle name="强调文字颜色 5 8 2 4" xfId="16790"/>
    <cellStyle name="强调文字颜色 5 8 5 2" xfId="16791"/>
    <cellStyle name="强调文字颜色 5 8 7 2" xfId="16792"/>
    <cellStyle name="强调文字颜色 5 8 8" xfId="16793"/>
    <cellStyle name="强调文字颜色 5 8 9" xfId="16794"/>
    <cellStyle name="强调文字颜色 5 9" xfId="16795"/>
    <cellStyle name="强调文字颜色 5 9 10" xfId="16796"/>
    <cellStyle name="强调文字颜色 5 9 11" xfId="16797"/>
    <cellStyle name="强调文字颜色 5 9 12" xfId="16798"/>
    <cellStyle name="强调文字颜色 5 9 2" xfId="16799"/>
    <cellStyle name="强调文字颜色 5 9 2 2" xfId="16800"/>
    <cellStyle name="强调文字颜色 5 9 2 2 2" xfId="16801"/>
    <cellStyle name="注释 4 6 5" xfId="16802"/>
    <cellStyle name="强调文字颜色 5 9 2 3" xfId="16803"/>
    <cellStyle name="强调文字颜色 5 9 2 4" xfId="16804"/>
    <cellStyle name="强调文字颜色 5 9 5 2" xfId="16805"/>
    <cellStyle name="强调文字颜色 5 9 6" xfId="16806"/>
    <cellStyle name="强调文字颜色 5 9 7 2" xfId="16807"/>
    <cellStyle name="强调文字颜色 5 9 8" xfId="16808"/>
    <cellStyle name="强调文字颜色 5 9 9" xfId="16809"/>
    <cellStyle name="强调文字颜色 6 10 10" xfId="16810"/>
    <cellStyle name="强调文字颜色 6 10 11" xfId="16811"/>
    <cellStyle name="强调文字颜色 6 10 12" xfId="16812"/>
    <cellStyle name="强调文字颜色 6 10 7 2" xfId="16813"/>
    <cellStyle name="强调文字颜色 6 10 9" xfId="16814"/>
    <cellStyle name="强调文字颜色 6 11 10" xfId="16815"/>
    <cellStyle name="强调文字颜色 6 11 11" xfId="16816"/>
    <cellStyle name="强调文字颜色 6 11 12" xfId="16817"/>
    <cellStyle name="强调文字颜色 6 11 7 2" xfId="16818"/>
    <cellStyle name="强调文字颜色 6 12 10" xfId="16819"/>
    <cellStyle name="强调文字颜色 6 12 11" xfId="16820"/>
    <cellStyle name="强调文字颜色 6 12 12" xfId="16821"/>
    <cellStyle name="强调文字颜色 6 12 6 2" xfId="16822"/>
    <cellStyle name="强调文字颜色 6 12 7 2" xfId="16823"/>
    <cellStyle name="强调文字颜色 6 12 9" xfId="16824"/>
    <cellStyle name="强调文字颜色 6 13 12" xfId="16825"/>
    <cellStyle name="强调文字颜色 6 13 9" xfId="16826"/>
    <cellStyle name="强调文字颜色 6 14 2" xfId="16827"/>
    <cellStyle name="强调文字颜色 6 14 2 2" xfId="16828"/>
    <cellStyle name="强调文字颜色 6 14 3" xfId="16829"/>
    <cellStyle name="强调文字颜色 6 2" xfId="16830"/>
    <cellStyle name="强调文字颜色 6 2 10" xfId="16831"/>
    <cellStyle name="强调文字颜色 6 2 11" xfId="16832"/>
    <cellStyle name="强调文字颜色 6 2 12" xfId="16833"/>
    <cellStyle name="强调文字颜色 6 2 2" xfId="16834"/>
    <cellStyle name="强调文字颜色 6 2 2 2" xfId="16835"/>
    <cellStyle name="强调文字颜色 6 2 2 2 2" xfId="16836"/>
    <cellStyle name="强调文字颜色 6 2 2 2 2 2" xfId="16837"/>
    <cellStyle name="强调文字颜色 6 2 2 5" xfId="16838"/>
    <cellStyle name="强调文字颜色 6 2 3" xfId="16839"/>
    <cellStyle name="强调文字颜色 6 2 3 2" xfId="16840"/>
    <cellStyle name="强调文字颜色 6 2 3 2 2" xfId="16841"/>
    <cellStyle name="强调文字颜色 6 2 4" xfId="16842"/>
    <cellStyle name="强调文字颜色 6 2 4 2" xfId="16843"/>
    <cellStyle name="强调文字颜色 6 2 4 2 2" xfId="16844"/>
    <cellStyle name="强调文字颜色 6 2 4 3" xfId="16845"/>
    <cellStyle name="强调文字颜色 6 2 6" xfId="16846"/>
    <cellStyle name="强调文字颜色 6 2 6 2" xfId="16847"/>
    <cellStyle name="强调文字颜色 6 2 7" xfId="16848"/>
    <cellStyle name="强调文字颜色 6 2 7 2" xfId="16849"/>
    <cellStyle name="强调文字颜色 6 3" xfId="16850"/>
    <cellStyle name="强调文字颜色 6 3 10" xfId="16851"/>
    <cellStyle name="强调文字颜色 6 3 11" xfId="16852"/>
    <cellStyle name="强调文字颜色 6 3 12" xfId="16853"/>
    <cellStyle name="强调文字颜色 6 3 2" xfId="16854"/>
    <cellStyle name="强调文字颜色 6 3 2 2" xfId="16855"/>
    <cellStyle name="强调文字颜色 6 3 2 2 2" xfId="16856"/>
    <cellStyle name="强调文字颜色 6 3 2 4" xfId="16857"/>
    <cellStyle name="强调文字颜色 6 3 3" xfId="16858"/>
    <cellStyle name="强调文字颜色 6 3 3 2" xfId="16859"/>
    <cellStyle name="强调文字颜色 6 3 3 2 2" xfId="16860"/>
    <cellStyle name="强调文字颜色 6 3 3 3" xfId="16861"/>
    <cellStyle name="强调文字颜色 6 3 4" xfId="16862"/>
    <cellStyle name="强调文字颜色 6 3 4 2" xfId="16863"/>
    <cellStyle name="强调文字颜色 6 3 6" xfId="16864"/>
    <cellStyle name="强调文字颜色 6 3 9" xfId="16865"/>
    <cellStyle name="强调文字颜色 6 4" xfId="16866"/>
    <cellStyle name="强调文字颜色 6 4 10" xfId="16867"/>
    <cellStyle name="强调文字颜色 6 4 11" xfId="16868"/>
    <cellStyle name="强调文字颜色 6 4 12" xfId="16869"/>
    <cellStyle name="强调文字颜色 6 4 2" xfId="16870"/>
    <cellStyle name="强调文字颜色 6 4 2 2" xfId="16871"/>
    <cellStyle name="强调文字颜色 6 4 2 2 2" xfId="16872"/>
    <cellStyle name="强调文字颜色 6 4 2 3" xfId="16873"/>
    <cellStyle name="强调文字颜色 6 4 3 2" xfId="16874"/>
    <cellStyle name="强调文字颜色 6 4 3 2 2" xfId="16875"/>
    <cellStyle name="强调文字颜色 6 4 3 3" xfId="16876"/>
    <cellStyle name="强调文字颜色 6 4 4" xfId="16877"/>
    <cellStyle name="强调文字颜色 6 4 4 2" xfId="16878"/>
    <cellStyle name="强调文字颜色 6 4 5" xfId="16879"/>
    <cellStyle name="强调文字颜色 6 4 5 2" xfId="16880"/>
    <cellStyle name="强调文字颜色 6 4 6" xfId="16881"/>
    <cellStyle name="强调文字颜色 6 4 6 2" xfId="16882"/>
    <cellStyle name="强调文字颜色 6 4 7" xfId="16883"/>
    <cellStyle name="强调文字颜色 6 4 7 2" xfId="16884"/>
    <cellStyle name="强调文字颜色 6 4 8" xfId="16885"/>
    <cellStyle name="强调文字颜色 6 4 9" xfId="16886"/>
    <cellStyle name="强调文字颜色 6 5" xfId="16887"/>
    <cellStyle name="强调文字颜色 6 5 10" xfId="16888"/>
    <cellStyle name="强调文字颜色 6 5 11" xfId="16889"/>
    <cellStyle name="强调文字颜色 6 5 2" xfId="16890"/>
    <cellStyle name="强调文字颜色 6 5 3" xfId="16891"/>
    <cellStyle name="强调文字颜色 6 5 4" xfId="16892"/>
    <cellStyle name="强调文字颜色 6 5 5" xfId="16893"/>
    <cellStyle name="强调文字颜色 6 5 6" xfId="16894"/>
    <cellStyle name="强调文字颜色 6 5 6 2" xfId="16895"/>
    <cellStyle name="强调文字颜色 6 5 7" xfId="16896"/>
    <cellStyle name="强调文字颜色 6 5 7 2" xfId="16897"/>
    <cellStyle name="强调文字颜色 6 5 8" xfId="16898"/>
    <cellStyle name="强调文字颜色 6 5 9" xfId="16899"/>
    <cellStyle name="强调文字颜色 6 6" xfId="16900"/>
    <cellStyle name="强调文字颜色 6 6 10" xfId="16901"/>
    <cellStyle name="强调文字颜色 6 6 11" xfId="16902"/>
    <cellStyle name="强调文字颜色 6 6 12" xfId="16903"/>
    <cellStyle name="强调文字颜色 6 6 2 2" xfId="16904"/>
    <cellStyle name="强调文字颜色 6 6 2 3" xfId="16905"/>
    <cellStyle name="强调文字颜色 6 6 2 4" xfId="16906"/>
    <cellStyle name="强调文字颜色 6 6 4 2" xfId="16907"/>
    <cellStyle name="强调文字颜色 6 6 5" xfId="16908"/>
    <cellStyle name="强调文字颜色 6 6 5 2" xfId="16909"/>
    <cellStyle name="强调文字颜色 6 6 6" xfId="16910"/>
    <cellStyle name="强调文字颜色 6 6 6 2" xfId="16911"/>
    <cellStyle name="强调文字颜色 6 6 7" xfId="16912"/>
    <cellStyle name="强调文字颜色 6 6 7 2" xfId="16913"/>
    <cellStyle name="强调文字颜色 6 6 8" xfId="16914"/>
    <cellStyle name="强调文字颜色 6 6 9" xfId="16915"/>
    <cellStyle name="强调文字颜色 6 7" xfId="16916"/>
    <cellStyle name="强调文字颜色 6 7 2" xfId="16917"/>
    <cellStyle name="强调文字颜色 6 7 2 2" xfId="16918"/>
    <cellStyle name="强调文字颜色 6 7 2 2 2" xfId="16919"/>
    <cellStyle name="强调文字颜色 6 7 2 3" xfId="16920"/>
    <cellStyle name="强调文字颜色 6 7 2 4" xfId="16921"/>
    <cellStyle name="强调文字颜色 6 7 3 2" xfId="16922"/>
    <cellStyle name="强调文字颜色 6 7 3 2 2" xfId="16923"/>
    <cellStyle name="强调文字颜色 6 7 3 3" xfId="16924"/>
    <cellStyle name="强调文字颜色 6 7 4" xfId="16925"/>
    <cellStyle name="强调文字颜色 6 7 5" xfId="16926"/>
    <cellStyle name="强调文字颜色 6 7 5 2" xfId="16927"/>
    <cellStyle name="强调文字颜色 6 7 6" xfId="16928"/>
    <cellStyle name="强调文字颜色 6 7 6 2" xfId="16929"/>
    <cellStyle name="强调文字颜色 6 8" xfId="16930"/>
    <cellStyle name="强调文字颜色 6 8 2" xfId="16931"/>
    <cellStyle name="强调文字颜色 6 8 2 2" xfId="16932"/>
    <cellStyle name="强调文字颜色 6 8 2 2 2" xfId="16933"/>
    <cellStyle name="强调文字颜色 6 8 2 3" xfId="16934"/>
    <cellStyle name="强调文字颜色 6 8 2 4" xfId="16935"/>
    <cellStyle name="强调文字颜色 6 8 8" xfId="16936"/>
    <cellStyle name="强调文字颜色 6 8 9" xfId="16937"/>
    <cellStyle name="强调文字颜色 6 9" xfId="16938"/>
    <cellStyle name="强调文字颜色 6 9 11" xfId="16939"/>
    <cellStyle name="强调文字颜色 6 9 12" xfId="16940"/>
    <cellStyle name="强调文字颜色 6 9 2" xfId="16941"/>
    <cellStyle name="适中 2 5" xfId="16942"/>
    <cellStyle name="强调文字颜色 6 9 5 2" xfId="16943"/>
    <cellStyle name="适中 2 8 2" xfId="16944"/>
    <cellStyle name="强调文字颜色 6 9 6" xfId="16945"/>
    <cellStyle name="适中 2 9" xfId="16946"/>
    <cellStyle name="强调文字颜色 6 9 6 2" xfId="16947"/>
    <cellStyle name="强调文字颜色 6 9 7 2" xfId="16948"/>
    <cellStyle name="强调文字颜色 6 9 8" xfId="16949"/>
    <cellStyle name="强调文字颜色 6 9 9" xfId="16950"/>
    <cellStyle name="日期" xfId="16951"/>
    <cellStyle name="日期 2" xfId="16952"/>
    <cellStyle name="日期 3" xfId="16953"/>
    <cellStyle name="商品名称" xfId="16954"/>
    <cellStyle name="商品名称 2" xfId="16955"/>
    <cellStyle name="商品名称 2 2" xfId="16956"/>
    <cellStyle name="商品名称 2 3" xfId="16957"/>
    <cellStyle name="商品名称 3" xfId="16958"/>
    <cellStyle name="商品名称 3 2" xfId="16959"/>
    <cellStyle name="商品名称 4" xfId="16960"/>
    <cellStyle name="适中 10 2" xfId="16961"/>
    <cellStyle name="适中 10 2 2" xfId="16962"/>
    <cellStyle name="适中 10 2 2 2" xfId="16963"/>
    <cellStyle name="适中 10 2 3" xfId="16964"/>
    <cellStyle name="适中 10 2 4" xfId="16965"/>
    <cellStyle name="适中 10 3" xfId="16966"/>
    <cellStyle name="适中 10 3 2" xfId="16967"/>
    <cellStyle name="适中 10 4" xfId="16968"/>
    <cellStyle name="适中 10 4 2" xfId="16969"/>
    <cellStyle name="适中 10 5" xfId="16970"/>
    <cellStyle name="适中 2 2 2" xfId="16971"/>
    <cellStyle name="适中 10 5 2" xfId="16972"/>
    <cellStyle name="适中 2 2 2 2" xfId="16973"/>
    <cellStyle name="适中 10 6" xfId="16974"/>
    <cellStyle name="适中 2 2 3" xfId="16975"/>
    <cellStyle name="适中 10 6 2" xfId="16976"/>
    <cellStyle name="适中 10 8" xfId="16977"/>
    <cellStyle name="输出 11 12 2" xfId="16978"/>
    <cellStyle name="适中 10 9" xfId="16979"/>
    <cellStyle name="适中 11 10" xfId="16980"/>
    <cellStyle name="适中 11 11" xfId="16981"/>
    <cellStyle name="适中 11 2 2" xfId="16982"/>
    <cellStyle name="适中 11 2 2 2" xfId="16983"/>
    <cellStyle name="适中 11 2 3" xfId="16984"/>
    <cellStyle name="适中 11 2 4" xfId="16985"/>
    <cellStyle name="适中 11 3" xfId="16986"/>
    <cellStyle name="适中 11 3 2" xfId="16987"/>
    <cellStyle name="适中 11 4" xfId="16988"/>
    <cellStyle name="适中 11 4 2" xfId="16989"/>
    <cellStyle name="适中 11 5" xfId="16990"/>
    <cellStyle name="适中 2 3 2" xfId="16991"/>
    <cellStyle name="适中 11 5 2" xfId="16992"/>
    <cellStyle name="适中 2 3 2 2" xfId="16993"/>
    <cellStyle name="适中 11 6" xfId="16994"/>
    <cellStyle name="适中 2 3 3" xfId="16995"/>
    <cellStyle name="适中 11 6 2" xfId="16996"/>
    <cellStyle name="适中 11 7" xfId="16997"/>
    <cellStyle name="适中 12" xfId="16998"/>
    <cellStyle name="适中 12 10" xfId="16999"/>
    <cellStyle name="适中 12 11" xfId="17000"/>
    <cellStyle name="适中 12 12" xfId="17001"/>
    <cellStyle name="适中 12 2" xfId="17002"/>
    <cellStyle name="适中 12 2 2 2" xfId="17003"/>
    <cellStyle name="适中 12 2 3" xfId="17004"/>
    <cellStyle name="适中 12 2 4" xfId="17005"/>
    <cellStyle name="适中 12 3" xfId="17006"/>
    <cellStyle name="适中 12 4" xfId="17007"/>
    <cellStyle name="适中 12 5" xfId="17008"/>
    <cellStyle name="适中 2 4 2" xfId="17009"/>
    <cellStyle name="适中 12 6" xfId="17010"/>
    <cellStyle name="适中 2 4 3" xfId="17011"/>
    <cellStyle name="适中 12 7" xfId="17012"/>
    <cellStyle name="适中 12 8" xfId="17013"/>
    <cellStyle name="输出 11 14 2" xfId="17014"/>
    <cellStyle name="适中 12 9" xfId="17015"/>
    <cellStyle name="适中 13 10" xfId="17016"/>
    <cellStyle name="适中 13 11" xfId="17017"/>
    <cellStyle name="适中 13 13" xfId="17018"/>
    <cellStyle name="输出 6 2 3 3" xfId="17019"/>
    <cellStyle name="适中 13 2 2 2" xfId="17020"/>
    <cellStyle name="适中 13 2 3" xfId="17021"/>
    <cellStyle name="适中 13 3 2 2" xfId="17022"/>
    <cellStyle name="适中 14" xfId="17023"/>
    <cellStyle name="适中 15" xfId="17024"/>
    <cellStyle name="适中 16" xfId="17025"/>
    <cellStyle name="适中 17" xfId="17026"/>
    <cellStyle name="适中 2" xfId="17027"/>
    <cellStyle name="适中 2 2" xfId="17028"/>
    <cellStyle name="适中 2 3" xfId="17029"/>
    <cellStyle name="适中 2 4" xfId="17030"/>
    <cellStyle name="适中 3 10" xfId="17031"/>
    <cellStyle name="适中 3 11" xfId="17032"/>
    <cellStyle name="适中 3 12" xfId="17033"/>
    <cellStyle name="适中 3 2" xfId="17034"/>
    <cellStyle name="适中 3 2 2" xfId="17035"/>
    <cellStyle name="适中 3 2 2 2" xfId="17036"/>
    <cellStyle name="适中 3 2 3" xfId="17037"/>
    <cellStyle name="适中 3 2 4" xfId="17038"/>
    <cellStyle name="适中 3 3" xfId="17039"/>
    <cellStyle name="适中 3 3 2" xfId="17040"/>
    <cellStyle name="适中 3 4" xfId="17041"/>
    <cellStyle name="适中 3 4 2" xfId="17042"/>
    <cellStyle name="适中 3 5" xfId="17043"/>
    <cellStyle name="适中 3 5 2" xfId="17044"/>
    <cellStyle name="适中 3 8" xfId="17045"/>
    <cellStyle name="适中 3 9" xfId="17046"/>
    <cellStyle name="适中 4" xfId="17047"/>
    <cellStyle name="适中 4 10" xfId="17048"/>
    <cellStyle name="适中 4 12" xfId="17049"/>
    <cellStyle name="适中 4 2" xfId="17050"/>
    <cellStyle name="适中 4 2 2 2" xfId="17051"/>
    <cellStyle name="适中 4 2 3" xfId="17052"/>
    <cellStyle name="适中 4 2 4" xfId="17053"/>
    <cellStyle name="适中 4 3" xfId="17054"/>
    <cellStyle name="适中 4 4" xfId="17055"/>
    <cellStyle name="适中 4 5" xfId="17056"/>
    <cellStyle name="适中 4 5 2" xfId="17057"/>
    <cellStyle name="适中 4 6 2" xfId="17058"/>
    <cellStyle name="适中 4 8" xfId="17059"/>
    <cellStyle name="适中 5" xfId="17060"/>
    <cellStyle name="适中 5 10" xfId="17061"/>
    <cellStyle name="适中 5 11" xfId="17062"/>
    <cellStyle name="适中 5 12" xfId="17063"/>
    <cellStyle name="适中 5 2" xfId="17064"/>
    <cellStyle name="适中 5 2 2 2" xfId="17065"/>
    <cellStyle name="适中 5 2 3" xfId="17066"/>
    <cellStyle name="适中 5 2 4" xfId="17067"/>
    <cellStyle name="适中 5 3" xfId="17068"/>
    <cellStyle name="适中 5 4" xfId="17069"/>
    <cellStyle name="适中 5 5" xfId="17070"/>
    <cellStyle name="适中 5 5 2" xfId="17071"/>
    <cellStyle name="适中 5 6 2" xfId="17072"/>
    <cellStyle name="适中 5 7" xfId="17073"/>
    <cellStyle name="适中 5 8" xfId="17074"/>
    <cellStyle name="适中 5 9" xfId="17075"/>
    <cellStyle name="适中 6 11" xfId="17076"/>
    <cellStyle name="适中 6 12" xfId="17077"/>
    <cellStyle name="适中 6 2" xfId="17078"/>
    <cellStyle name="适中 6 2 2 2" xfId="17079"/>
    <cellStyle name="适中 6 2 3" xfId="17080"/>
    <cellStyle name="适中 6 2 4" xfId="17081"/>
    <cellStyle name="适中 6 3" xfId="17082"/>
    <cellStyle name="适中 6 4" xfId="17083"/>
    <cellStyle name="适中 6 5" xfId="17084"/>
    <cellStyle name="适中 6 5 2" xfId="17085"/>
    <cellStyle name="适中 6 6" xfId="17086"/>
    <cellStyle name="适中 6 6 2" xfId="17087"/>
    <cellStyle name="适中 6 7" xfId="17088"/>
    <cellStyle name="适中 6 8" xfId="17089"/>
    <cellStyle name="适中 6 9" xfId="17090"/>
    <cellStyle name="适中 7" xfId="17091"/>
    <cellStyle name="适中 7 10" xfId="17092"/>
    <cellStyle name="输出 11 3 3 2" xfId="17093"/>
    <cellStyle name="适中 7 11" xfId="17094"/>
    <cellStyle name="适中 7 12" xfId="17095"/>
    <cellStyle name="适中 7 2" xfId="17096"/>
    <cellStyle name="适中 7 2 2 2" xfId="17097"/>
    <cellStyle name="输入 12 5 4" xfId="17098"/>
    <cellStyle name="适中 7 2 3" xfId="17099"/>
    <cellStyle name="适中 7 2 4" xfId="17100"/>
    <cellStyle name="适中 7 3" xfId="17101"/>
    <cellStyle name="适中 7 4" xfId="17102"/>
    <cellStyle name="适中 7 5" xfId="17103"/>
    <cellStyle name="适中 7 5 2" xfId="17104"/>
    <cellStyle name="适中 7 6" xfId="17105"/>
    <cellStyle name="适中 7 6 2" xfId="17106"/>
    <cellStyle name="适中 7 7" xfId="17107"/>
    <cellStyle name="适中 8" xfId="17108"/>
    <cellStyle name="适中 8 10" xfId="17109"/>
    <cellStyle name="适中 8 11" xfId="17110"/>
    <cellStyle name="适中 8 12" xfId="17111"/>
    <cellStyle name="适中 8 3" xfId="17112"/>
    <cellStyle name="适中 8 4" xfId="17113"/>
    <cellStyle name="适中 8 5" xfId="17114"/>
    <cellStyle name="适中 8 5 2" xfId="17115"/>
    <cellStyle name="适中 8 6" xfId="17116"/>
    <cellStyle name="适中 8 6 2" xfId="17117"/>
    <cellStyle name="适中 8 7" xfId="17118"/>
    <cellStyle name="适中 9" xfId="17119"/>
    <cellStyle name="适中 9 10" xfId="17120"/>
    <cellStyle name="适中 9 11" xfId="17121"/>
    <cellStyle name="适中 9 12" xfId="17122"/>
    <cellStyle name="适中 9 2" xfId="17123"/>
    <cellStyle name="适中 9 2 2 2" xfId="17124"/>
    <cellStyle name="适中 9 2 3" xfId="17125"/>
    <cellStyle name="适中 9 2 4" xfId="17126"/>
    <cellStyle name="适中 9 3" xfId="17127"/>
    <cellStyle name="适中 9 4" xfId="17128"/>
    <cellStyle name="适中 9 5" xfId="17129"/>
    <cellStyle name="适中 9 5 2" xfId="17130"/>
    <cellStyle name="适中 9 6" xfId="17131"/>
    <cellStyle name="适中 9 6 2" xfId="17132"/>
    <cellStyle name="适中 9 7" xfId="17133"/>
    <cellStyle name="输出 10 10" xfId="17134"/>
    <cellStyle name="输出 10 12 2" xfId="17135"/>
    <cellStyle name="输出 10 13" xfId="17136"/>
    <cellStyle name="输出 10 13 2" xfId="17137"/>
    <cellStyle name="输出 10 14" xfId="17138"/>
    <cellStyle name="输出 10 14 2" xfId="17139"/>
    <cellStyle name="输出 10 15" xfId="17140"/>
    <cellStyle name="输出 10 16" xfId="17141"/>
    <cellStyle name="输出 10 17" xfId="17142"/>
    <cellStyle name="输出 10 18" xfId="17143"/>
    <cellStyle name="输出 10 2 2 2" xfId="17144"/>
    <cellStyle name="输出 10 2 2 3" xfId="17145"/>
    <cellStyle name="输出 10 2 3" xfId="17146"/>
    <cellStyle name="输出 10 2 3 2" xfId="17147"/>
    <cellStyle name="输出 10 2 3 3" xfId="17148"/>
    <cellStyle name="输出 10 2 4" xfId="17149"/>
    <cellStyle name="输出 10 2 4 2" xfId="17150"/>
    <cellStyle name="输出 10 2 5" xfId="17151"/>
    <cellStyle name="输出 10 2 5 2" xfId="17152"/>
    <cellStyle name="输出 10 2 6" xfId="17153"/>
    <cellStyle name="输出 10 2 7" xfId="17154"/>
    <cellStyle name="输出 10 3 2" xfId="17155"/>
    <cellStyle name="输出 10 3 2 2" xfId="17156"/>
    <cellStyle name="输出 10 3 2 3" xfId="17157"/>
    <cellStyle name="输出 10 3 3" xfId="17158"/>
    <cellStyle name="输出 10 3 3 2" xfId="17159"/>
    <cellStyle name="输出 10 3 4" xfId="17160"/>
    <cellStyle name="输出 10 3 5" xfId="17161"/>
    <cellStyle name="输出 10 3 5 2" xfId="17162"/>
    <cellStyle name="输出 10 3 6" xfId="17163"/>
    <cellStyle name="输出 10 4 3 2" xfId="17164"/>
    <cellStyle name="输出 10 4 4" xfId="17165"/>
    <cellStyle name="输出 10 4 5" xfId="17166"/>
    <cellStyle name="输出 10 4 5 2" xfId="17167"/>
    <cellStyle name="输出 10 4 6" xfId="17168"/>
    <cellStyle name="输出 10 5 2 2" xfId="17169"/>
    <cellStyle name="输出 10 5 3" xfId="17170"/>
    <cellStyle name="输出 10 5 3 2" xfId="17171"/>
    <cellStyle name="输出 10 5 4" xfId="17172"/>
    <cellStyle name="输出 10 5 4 2" xfId="17173"/>
    <cellStyle name="输出 10 5 5" xfId="17174"/>
    <cellStyle name="输出 10 5 5 2" xfId="17175"/>
    <cellStyle name="输出 10 5 6" xfId="17176"/>
    <cellStyle name="输出 10 6 2" xfId="17177"/>
    <cellStyle name="输出 10 6 2 2" xfId="17178"/>
    <cellStyle name="输出 10 6 3" xfId="17179"/>
    <cellStyle name="输出 10 6 3 2" xfId="17180"/>
    <cellStyle name="输出 10 6 4" xfId="17181"/>
    <cellStyle name="输出 10 6 5" xfId="17182"/>
    <cellStyle name="输出 10 6 5 2" xfId="17183"/>
    <cellStyle name="输出 10 6 6" xfId="17184"/>
    <cellStyle name="输出 10 8" xfId="17185"/>
    <cellStyle name="输出 10 9" xfId="17186"/>
    <cellStyle name="输出 11 10" xfId="17187"/>
    <cellStyle name="输出 11 11" xfId="17188"/>
    <cellStyle name="输出 11 12" xfId="17189"/>
    <cellStyle name="输出 11 13" xfId="17190"/>
    <cellStyle name="输出 11 14" xfId="17191"/>
    <cellStyle name="输出 11 17" xfId="17192"/>
    <cellStyle name="输出 11 18" xfId="17193"/>
    <cellStyle name="输出 11 2 2 2" xfId="17194"/>
    <cellStyle name="输出 11 2 2 3" xfId="17195"/>
    <cellStyle name="输出 11 2 5 2" xfId="17196"/>
    <cellStyle name="输出 11 2 6" xfId="17197"/>
    <cellStyle name="输出 11 2 7" xfId="17198"/>
    <cellStyle name="输出 11 3" xfId="17199"/>
    <cellStyle name="输出 11 3 2" xfId="17200"/>
    <cellStyle name="输出 11 3 2 2" xfId="17201"/>
    <cellStyle name="输出 11 3 2 3" xfId="17202"/>
    <cellStyle name="输出 11 3 4" xfId="17203"/>
    <cellStyle name="输出 11 3 5" xfId="17204"/>
    <cellStyle name="输出 11 3 5 2" xfId="17205"/>
    <cellStyle name="输出 11 3 6" xfId="17206"/>
    <cellStyle name="输出 11 4 2 2" xfId="17207"/>
    <cellStyle name="输出 11 4 3" xfId="17208"/>
    <cellStyle name="输出 11 4 3 2" xfId="17209"/>
    <cellStyle name="输出 11 4 4" xfId="17210"/>
    <cellStyle name="输出 11 5 2" xfId="17211"/>
    <cellStyle name="输出 11 5 2 2" xfId="17212"/>
    <cellStyle name="输出 11 6 2" xfId="17213"/>
    <cellStyle name="输出 11 6 2 2" xfId="17214"/>
    <cellStyle name="输出 11 7" xfId="17215"/>
    <cellStyle name="输出 11 8" xfId="17216"/>
    <cellStyle name="输出 11 8 2" xfId="17217"/>
    <cellStyle name="输出 11 9" xfId="17218"/>
    <cellStyle name="输出 11 9 2" xfId="17219"/>
    <cellStyle name="输出 12 10" xfId="17220"/>
    <cellStyle name="输出 12 11" xfId="17221"/>
    <cellStyle name="输出 12 11 2" xfId="17222"/>
    <cellStyle name="输出 12 12" xfId="17223"/>
    <cellStyle name="输出 12 12 2" xfId="17224"/>
    <cellStyle name="输出 12 13" xfId="17225"/>
    <cellStyle name="输出 12 13 2" xfId="17226"/>
    <cellStyle name="输出 12 14" xfId="17227"/>
    <cellStyle name="输出 12 14 2" xfId="17228"/>
    <cellStyle name="输出 12 16" xfId="17229"/>
    <cellStyle name="输出 12 17" xfId="17230"/>
    <cellStyle name="输出 12 18" xfId="17231"/>
    <cellStyle name="输出 12 2" xfId="17232"/>
    <cellStyle name="输出 12 2 2 2" xfId="17233"/>
    <cellStyle name="输出 12 2 2 3" xfId="17234"/>
    <cellStyle name="输出 12 2 3 2" xfId="17235"/>
    <cellStyle name="输出 12 2 3 3" xfId="17236"/>
    <cellStyle name="输出 12 2 4" xfId="17237"/>
    <cellStyle name="输出 12 2 4 2" xfId="17238"/>
    <cellStyle name="输出 12 2 5" xfId="17239"/>
    <cellStyle name="输出 12 2 5 2" xfId="17240"/>
    <cellStyle name="输出 12 2 6" xfId="17241"/>
    <cellStyle name="输出 12 2 7" xfId="17242"/>
    <cellStyle name="输出 12 3" xfId="17243"/>
    <cellStyle name="输出 12 3 2" xfId="17244"/>
    <cellStyle name="输出 12 3 2 2" xfId="17245"/>
    <cellStyle name="输出 12 3 3" xfId="17246"/>
    <cellStyle name="输出 12 3 3 2" xfId="17247"/>
    <cellStyle name="输出 12 3 4" xfId="17248"/>
    <cellStyle name="输出 12 3 5" xfId="17249"/>
    <cellStyle name="输出 12 3 5 2" xfId="17250"/>
    <cellStyle name="输出 12 4 2" xfId="17251"/>
    <cellStyle name="输出 12 4 2 2" xfId="17252"/>
    <cellStyle name="输出 12 4 3" xfId="17253"/>
    <cellStyle name="输出 12 4 3 2" xfId="17254"/>
    <cellStyle name="输出 12 4 4" xfId="17255"/>
    <cellStyle name="输出 12 5" xfId="17256"/>
    <cellStyle name="输出 12 5 2" xfId="17257"/>
    <cellStyle name="输出 12 5 2 2" xfId="17258"/>
    <cellStyle name="输出 12 5 3" xfId="17259"/>
    <cellStyle name="输出 12 5 3 2" xfId="17260"/>
    <cellStyle name="输出 12 5 4" xfId="17261"/>
    <cellStyle name="输出 12 5 4 2" xfId="17262"/>
    <cellStyle name="输出 12 5 5 2" xfId="17263"/>
    <cellStyle name="输入 10 2 5" xfId="17264"/>
    <cellStyle name="输出 12 5 6" xfId="17265"/>
    <cellStyle name="输出 12 6" xfId="17266"/>
    <cellStyle name="输出 12 6 2" xfId="17267"/>
    <cellStyle name="输出 12 6 2 2" xfId="17268"/>
    <cellStyle name="输出 12 6 3" xfId="17269"/>
    <cellStyle name="输出 12 6 3 2" xfId="17270"/>
    <cellStyle name="输出 12 6 4" xfId="17271"/>
    <cellStyle name="输出 12 6 5 2" xfId="17272"/>
    <cellStyle name="输入 11 2 5" xfId="17273"/>
    <cellStyle name="输出 12 6 6" xfId="17274"/>
    <cellStyle name="输出 12 8" xfId="17275"/>
    <cellStyle name="输出 12 8 2" xfId="17276"/>
    <cellStyle name="输出 12 9" xfId="17277"/>
    <cellStyle name="输出 12 9 2" xfId="17278"/>
    <cellStyle name="输出 13" xfId="17279"/>
    <cellStyle name="输出 13 11" xfId="17280"/>
    <cellStyle name="输出 13 11 2" xfId="17281"/>
    <cellStyle name="输出 13 12 2" xfId="17282"/>
    <cellStyle name="输出 13 14 2" xfId="17283"/>
    <cellStyle name="输出 13 15" xfId="17284"/>
    <cellStyle name="注释 6 6 5" xfId="17285"/>
    <cellStyle name="输出 13 16" xfId="17286"/>
    <cellStyle name="输出 13 16 2" xfId="17287"/>
    <cellStyle name="输出 13 17" xfId="17288"/>
    <cellStyle name="输出 13 2" xfId="17289"/>
    <cellStyle name="输出 13 2 2" xfId="17290"/>
    <cellStyle name="输出 13 2 2 2" xfId="17291"/>
    <cellStyle name="输出 13 2 3" xfId="17292"/>
    <cellStyle name="输出 13 2 3 2" xfId="17293"/>
    <cellStyle name="输出 13 2 3 3" xfId="17294"/>
    <cellStyle name="输出 13 2 4" xfId="17295"/>
    <cellStyle name="输出 13 2 4 2" xfId="17296"/>
    <cellStyle name="输出 13 2 5" xfId="17297"/>
    <cellStyle name="输出 13 2 5 2" xfId="17298"/>
    <cellStyle name="输出 13 2 6" xfId="17299"/>
    <cellStyle name="输出 13 2 7" xfId="17300"/>
    <cellStyle name="输出 13 3" xfId="17301"/>
    <cellStyle name="输出 13 3 2" xfId="17302"/>
    <cellStyle name="输出 13 3 2 2" xfId="17303"/>
    <cellStyle name="输出 13 3 2 3" xfId="17304"/>
    <cellStyle name="输出 13 3 3" xfId="17305"/>
    <cellStyle name="输出 13 3 3 2" xfId="17306"/>
    <cellStyle name="输出 13 3 4" xfId="17307"/>
    <cellStyle name="输出 13 3 4 2" xfId="17308"/>
    <cellStyle name="输出 13 3 5" xfId="17309"/>
    <cellStyle name="输出 13 3 5 2" xfId="17310"/>
    <cellStyle name="输出 13 4" xfId="17311"/>
    <cellStyle name="输出 13 4 2" xfId="17312"/>
    <cellStyle name="输出 13 4 2 2" xfId="17313"/>
    <cellStyle name="输出 13 4 3" xfId="17314"/>
    <cellStyle name="输出 13 4 3 2" xfId="17315"/>
    <cellStyle name="输出 13 4 4" xfId="17316"/>
    <cellStyle name="输出 13 5" xfId="17317"/>
    <cellStyle name="输出 13 5 2" xfId="17318"/>
    <cellStyle name="输出 13 5 2 2" xfId="17319"/>
    <cellStyle name="输出 13 5 3" xfId="17320"/>
    <cellStyle name="输出 13 5 3 2" xfId="17321"/>
    <cellStyle name="输出 13 5 4" xfId="17322"/>
    <cellStyle name="输出 13 5 6" xfId="17323"/>
    <cellStyle name="输出 13 6" xfId="17324"/>
    <cellStyle name="输出 13 6 2" xfId="17325"/>
    <cellStyle name="输出 13 6 2 2" xfId="17326"/>
    <cellStyle name="输出 13 6 3" xfId="17327"/>
    <cellStyle name="输出 13 6 3 2" xfId="17328"/>
    <cellStyle name="输出 13 6 4" xfId="17329"/>
    <cellStyle name="输出 13 6 5 2" xfId="17330"/>
    <cellStyle name="输出 13 6 6" xfId="17331"/>
    <cellStyle name="输出 13 7" xfId="17332"/>
    <cellStyle name="输出 13 8" xfId="17333"/>
    <cellStyle name="输出 13 8 2" xfId="17334"/>
    <cellStyle name="输出 13 9" xfId="17335"/>
    <cellStyle name="输出 13 9 2" xfId="17336"/>
    <cellStyle name="输出 14 2" xfId="17337"/>
    <cellStyle name="输出 14 2 2" xfId="17338"/>
    <cellStyle name="输出 14 3" xfId="17339"/>
    <cellStyle name="输出 15" xfId="17340"/>
    <cellStyle name="输出 15 2" xfId="17341"/>
    <cellStyle name="输出 16" xfId="17342"/>
    <cellStyle name="输出 17" xfId="17343"/>
    <cellStyle name="输出 2 10" xfId="17344"/>
    <cellStyle name="注释 12 3" xfId="17345"/>
    <cellStyle name="输出 2 10 2" xfId="17346"/>
    <cellStyle name="注释 12 3 2" xfId="17347"/>
    <cellStyle name="输出 2 12 2" xfId="17348"/>
    <cellStyle name="注释 12 5 2" xfId="17349"/>
    <cellStyle name="输出 2 13 2" xfId="17350"/>
    <cellStyle name="注释 12 6 2" xfId="17351"/>
    <cellStyle name="输出 2 14" xfId="17352"/>
    <cellStyle name="注释 12 7" xfId="17353"/>
    <cellStyle name="输出 2 14 2" xfId="17354"/>
    <cellStyle name="注释 12 7 2" xfId="17355"/>
    <cellStyle name="输出 2 2" xfId="17356"/>
    <cellStyle name="输出 2 2 2" xfId="17357"/>
    <cellStyle name="输出 2 2 2 2" xfId="17358"/>
    <cellStyle name="输出 2 2 4 2" xfId="17359"/>
    <cellStyle name="输出 2 2 5" xfId="17360"/>
    <cellStyle name="输出 2 2 5 2" xfId="17361"/>
    <cellStyle name="输出 2 2 6" xfId="17362"/>
    <cellStyle name="输出 2 2 7" xfId="17363"/>
    <cellStyle name="输出 2 3" xfId="17364"/>
    <cellStyle name="输出 2 4" xfId="17365"/>
    <cellStyle name="输出 2 4 2" xfId="17366"/>
    <cellStyle name="输出 2 4 2 2" xfId="17367"/>
    <cellStyle name="输出 2 4 3" xfId="17368"/>
    <cellStyle name="输出 2 4 3 2" xfId="17369"/>
    <cellStyle name="输出 2 5 2 2" xfId="17370"/>
    <cellStyle name="输出 2 5 2 3" xfId="17371"/>
    <cellStyle name="输出 2 5 3" xfId="17372"/>
    <cellStyle name="输出 2 5 3 2" xfId="17373"/>
    <cellStyle name="输出 2 6 2 2" xfId="17374"/>
    <cellStyle name="输出 2 6 3" xfId="17375"/>
    <cellStyle name="输出 2 6 3 2" xfId="17376"/>
    <cellStyle name="输出 2 8 3" xfId="17377"/>
    <cellStyle name="输出 2 9 2" xfId="17378"/>
    <cellStyle name="输出 3" xfId="17379"/>
    <cellStyle name="输出 3 10" xfId="17380"/>
    <cellStyle name="注释 17 3" xfId="17381"/>
    <cellStyle name="注释 22 3" xfId="17382"/>
    <cellStyle name="输出 3 12" xfId="17383"/>
    <cellStyle name="注释 17 5" xfId="17384"/>
    <cellStyle name="注释 22 5" xfId="17385"/>
    <cellStyle name="输出 3 13" xfId="17386"/>
    <cellStyle name="注释 17 6" xfId="17387"/>
    <cellStyle name="注释 22 6" xfId="17388"/>
    <cellStyle name="输出 3 14" xfId="17389"/>
    <cellStyle name="注释 17 7" xfId="17390"/>
    <cellStyle name="注释 22 7" xfId="17391"/>
    <cellStyle name="输出 3 15" xfId="17392"/>
    <cellStyle name="注释 17 8" xfId="17393"/>
    <cellStyle name="注释 22 8" xfId="17394"/>
    <cellStyle name="输出 3 16" xfId="17395"/>
    <cellStyle name="注释 17 9" xfId="17396"/>
    <cellStyle name="注释 22 9" xfId="17397"/>
    <cellStyle name="输出 3 17" xfId="17398"/>
    <cellStyle name="注释 5 10" xfId="17399"/>
    <cellStyle name="输出 3 18" xfId="17400"/>
    <cellStyle name="注释 5 11" xfId="17401"/>
    <cellStyle name="输出 3 2" xfId="17402"/>
    <cellStyle name="输出 3 2 2" xfId="17403"/>
    <cellStyle name="输出 3 2 2 2" xfId="17404"/>
    <cellStyle name="输出 3 2 2 3" xfId="17405"/>
    <cellStyle name="输出 3 2 4 2" xfId="17406"/>
    <cellStyle name="输出 3 2 5 2" xfId="17407"/>
    <cellStyle name="输出 3 2 7" xfId="17408"/>
    <cellStyle name="输出 3 3" xfId="17409"/>
    <cellStyle name="输出 3 3 2" xfId="17410"/>
    <cellStyle name="输出 3 3 2 2" xfId="17411"/>
    <cellStyle name="输出 3 3 2 3" xfId="17412"/>
    <cellStyle name="输出 3 3 3" xfId="17413"/>
    <cellStyle name="输出 3 4" xfId="17414"/>
    <cellStyle name="输出 3 4 2" xfId="17415"/>
    <cellStyle name="输出 3 4 2 2" xfId="17416"/>
    <cellStyle name="输出 3 4 3" xfId="17417"/>
    <cellStyle name="输出 3 4 3 2" xfId="17418"/>
    <cellStyle name="输出 3 5 2" xfId="17419"/>
    <cellStyle name="输出 3 5 2 2" xfId="17420"/>
    <cellStyle name="输出 3 5 3" xfId="17421"/>
    <cellStyle name="输出 3 5 3 2" xfId="17422"/>
    <cellStyle name="输出 3 6" xfId="17423"/>
    <cellStyle name="输出 3 6 2" xfId="17424"/>
    <cellStyle name="输出 3 6 2 2" xfId="17425"/>
    <cellStyle name="输出 3 6 3 2" xfId="17426"/>
    <cellStyle name="输出 3 8 2" xfId="17427"/>
    <cellStyle name="输出 3 9" xfId="17428"/>
    <cellStyle name="输出 3 9 2" xfId="17429"/>
    <cellStyle name="输出 4" xfId="17430"/>
    <cellStyle name="输出 4 10" xfId="17431"/>
    <cellStyle name="输出 4 10 2" xfId="17432"/>
    <cellStyle name="输出 4 11" xfId="17433"/>
    <cellStyle name="输出 4 11 2" xfId="17434"/>
    <cellStyle name="输出 4 12" xfId="17435"/>
    <cellStyle name="输出 4 12 2" xfId="17436"/>
    <cellStyle name="输出 4 13" xfId="17437"/>
    <cellStyle name="输出 4 13 2" xfId="17438"/>
    <cellStyle name="输出 4 14" xfId="17439"/>
    <cellStyle name="输出 4 14 2" xfId="17440"/>
    <cellStyle name="输出 4 15" xfId="17441"/>
    <cellStyle name="输出 4 16" xfId="17442"/>
    <cellStyle name="输出 4 17" xfId="17443"/>
    <cellStyle name="注释 6 10" xfId="17444"/>
    <cellStyle name="输出 4 18" xfId="17445"/>
    <cellStyle name="注释 6 11" xfId="17446"/>
    <cellStyle name="输出 4 2" xfId="17447"/>
    <cellStyle name="输出 4 2 2" xfId="17448"/>
    <cellStyle name="输出 4 2 2 3" xfId="17449"/>
    <cellStyle name="输出 4 2 3" xfId="17450"/>
    <cellStyle name="输出 4 2 3 3" xfId="17451"/>
    <cellStyle name="输出 4 2 4" xfId="17452"/>
    <cellStyle name="输出 4 2 4 2" xfId="17453"/>
    <cellStyle name="输出 4 2 5" xfId="17454"/>
    <cellStyle name="输出 4 2 6" xfId="17455"/>
    <cellStyle name="输出 4 2 7" xfId="17456"/>
    <cellStyle name="输出 4 3" xfId="17457"/>
    <cellStyle name="输出 4 3 2" xfId="17458"/>
    <cellStyle name="输出 4 3 3" xfId="17459"/>
    <cellStyle name="输出 4 4" xfId="17460"/>
    <cellStyle name="输出 4 4 2" xfId="17461"/>
    <cellStyle name="输出 4 4 3" xfId="17462"/>
    <cellStyle name="输出 4 5 2" xfId="17463"/>
    <cellStyle name="输出 4 5 3" xfId="17464"/>
    <cellStyle name="输出 4 5 3 2" xfId="17465"/>
    <cellStyle name="输出 4 6" xfId="17466"/>
    <cellStyle name="输出 4 6 2" xfId="17467"/>
    <cellStyle name="输出 4 6 2 2" xfId="17468"/>
    <cellStyle name="输出 4 6 3" xfId="17469"/>
    <cellStyle name="输出 4 6 3 2" xfId="17470"/>
    <cellStyle name="输出 4 8" xfId="17471"/>
    <cellStyle name="输出 4 8 2" xfId="17472"/>
    <cellStyle name="输出 4 9" xfId="17473"/>
    <cellStyle name="输出 4 9 2" xfId="17474"/>
    <cellStyle name="输出 5" xfId="17475"/>
    <cellStyle name="输出 5 10" xfId="17476"/>
    <cellStyle name="输出 5 10 2" xfId="17477"/>
    <cellStyle name="输出 5 11" xfId="17478"/>
    <cellStyle name="输出 5 11 2" xfId="17479"/>
    <cellStyle name="输出 5 12" xfId="17480"/>
    <cellStyle name="输出 5 13" xfId="17481"/>
    <cellStyle name="输出 5 14" xfId="17482"/>
    <cellStyle name="输出 5 16" xfId="17483"/>
    <cellStyle name="输出 5 17" xfId="17484"/>
    <cellStyle name="注释 7 10" xfId="17485"/>
    <cellStyle name="输出 5 18" xfId="17486"/>
    <cellStyle name="注释 7 11" xfId="17487"/>
    <cellStyle name="输出 5 2" xfId="17488"/>
    <cellStyle name="输出 5 2 2" xfId="17489"/>
    <cellStyle name="输出 5 2 2 2" xfId="17490"/>
    <cellStyle name="输出 5 2 3" xfId="17491"/>
    <cellStyle name="输出 5 2 4" xfId="17492"/>
    <cellStyle name="输出 5 2 4 2" xfId="17493"/>
    <cellStyle name="输出 5 2 5" xfId="17494"/>
    <cellStyle name="输出 5 2 6" xfId="17495"/>
    <cellStyle name="输出 5 2 7" xfId="17496"/>
    <cellStyle name="输出 5 3" xfId="17497"/>
    <cellStyle name="输出 5 3 2" xfId="17498"/>
    <cellStyle name="输出 5 3 2 2" xfId="17499"/>
    <cellStyle name="输出 5 3 3" xfId="17500"/>
    <cellStyle name="输出 5 4" xfId="17501"/>
    <cellStyle name="输出 5 4 2" xfId="17502"/>
    <cellStyle name="输出 5 4 2 2" xfId="17503"/>
    <cellStyle name="输出 5 4 3" xfId="17504"/>
    <cellStyle name="输出 5 5 2" xfId="17505"/>
    <cellStyle name="输出 5 5 2 2" xfId="17506"/>
    <cellStyle name="输出 5 5 3" xfId="17507"/>
    <cellStyle name="输出 5 5 3 2" xfId="17508"/>
    <cellStyle name="输出 5 6" xfId="17509"/>
    <cellStyle name="输出 5 6 2" xfId="17510"/>
    <cellStyle name="输出 5 6 3" xfId="17511"/>
    <cellStyle name="输出 5 7 2" xfId="17512"/>
    <cellStyle name="输出 5 8" xfId="17513"/>
    <cellStyle name="输出 5 8 2" xfId="17514"/>
    <cellStyle name="输出 5 9" xfId="17515"/>
    <cellStyle name="输出 5 9 2" xfId="17516"/>
    <cellStyle name="输出 6 10" xfId="17517"/>
    <cellStyle name="输出 6 10 2" xfId="17518"/>
    <cellStyle name="输出 6 11 2" xfId="17519"/>
    <cellStyle name="输出 6 12" xfId="17520"/>
    <cellStyle name="输出 6 12 2" xfId="17521"/>
    <cellStyle name="输出 6 13" xfId="17522"/>
    <cellStyle name="输出 6 14" xfId="17523"/>
    <cellStyle name="输出 6 15" xfId="17524"/>
    <cellStyle name="输出 6 15 2" xfId="17525"/>
    <cellStyle name="输出 6 16" xfId="17526"/>
    <cellStyle name="输出 6 17" xfId="17527"/>
    <cellStyle name="注释 8 10" xfId="17528"/>
    <cellStyle name="输出 6 18" xfId="17529"/>
    <cellStyle name="注释 8 11" xfId="17530"/>
    <cellStyle name="输出 6 2 2 2" xfId="17531"/>
    <cellStyle name="输出 6 2 3" xfId="17532"/>
    <cellStyle name="输出 6 2 4" xfId="17533"/>
    <cellStyle name="输出 6 2 4 2" xfId="17534"/>
    <cellStyle name="输出 6 2 5" xfId="17535"/>
    <cellStyle name="输出 6 2 5 2" xfId="17536"/>
    <cellStyle name="输出 6 2 6" xfId="17537"/>
    <cellStyle name="输出 6 2 7" xfId="17538"/>
    <cellStyle name="输出 6 3 2 2" xfId="17539"/>
    <cellStyle name="输出 6 3 3" xfId="17540"/>
    <cellStyle name="输出 6 3 3 2" xfId="17541"/>
    <cellStyle name="输出 6 4 2 2" xfId="17542"/>
    <cellStyle name="输出 6 4 3" xfId="17543"/>
    <cellStyle name="输出 6 4 3 2" xfId="17544"/>
    <cellStyle name="输出 6 5 2 2" xfId="17545"/>
    <cellStyle name="输出 6 5 3" xfId="17546"/>
    <cellStyle name="输出 6 6 2 2" xfId="17547"/>
    <cellStyle name="输出 6 6 3" xfId="17548"/>
    <cellStyle name="输出 6 6 5 2" xfId="17549"/>
    <cellStyle name="输出 6 7" xfId="17550"/>
    <cellStyle name="输出 6 8" xfId="17551"/>
    <cellStyle name="输出 6 9" xfId="17552"/>
    <cellStyle name="输出 7 10" xfId="17553"/>
    <cellStyle name="输出 7 10 2" xfId="17554"/>
    <cellStyle name="输出 7 12 2" xfId="17555"/>
    <cellStyle name="输出 7 13" xfId="17556"/>
    <cellStyle name="输出 7 14" xfId="17557"/>
    <cellStyle name="输出 7 14 2" xfId="17558"/>
    <cellStyle name="输出 7 2 2 2" xfId="17559"/>
    <cellStyle name="输出 7 2 3" xfId="17560"/>
    <cellStyle name="输出 7 2 3 2" xfId="17561"/>
    <cellStyle name="输出 7 2 3 3" xfId="17562"/>
    <cellStyle name="输出 7 2 4" xfId="17563"/>
    <cellStyle name="输出 7 2 4 2" xfId="17564"/>
    <cellStyle name="输出 7 2 5" xfId="17565"/>
    <cellStyle name="输出 7 2 5 2" xfId="17566"/>
    <cellStyle name="输出 7 2 6" xfId="17567"/>
    <cellStyle name="输出 7 2 7" xfId="17568"/>
    <cellStyle name="输出 7 3 2 2" xfId="17569"/>
    <cellStyle name="输出 7 3 3" xfId="17570"/>
    <cellStyle name="输出 7 4 2 2" xfId="17571"/>
    <cellStyle name="输出 7 4 3" xfId="17572"/>
    <cellStyle name="输出 7 4 3 2" xfId="17573"/>
    <cellStyle name="输出 7 5 2" xfId="17574"/>
    <cellStyle name="输出 7 5 2 2" xfId="17575"/>
    <cellStyle name="输出 7 5 3 2" xfId="17576"/>
    <cellStyle name="输出 7 6 2" xfId="17577"/>
    <cellStyle name="输出 7 6 3" xfId="17578"/>
    <cellStyle name="输出 7 6 3 2" xfId="17579"/>
    <cellStyle name="输出 7 6 5 2" xfId="17580"/>
    <cellStyle name="输出 7 7" xfId="17581"/>
    <cellStyle name="输出 8 10" xfId="17582"/>
    <cellStyle name="输出 8 2 3" xfId="17583"/>
    <cellStyle name="输出 8 2 3 2" xfId="17584"/>
    <cellStyle name="输出 8 2 3 3" xfId="17585"/>
    <cellStyle name="输出 8 2 4 2" xfId="17586"/>
    <cellStyle name="输出 8 2 5 2" xfId="17587"/>
    <cellStyle name="输出 8 2 7" xfId="17588"/>
    <cellStyle name="输出 8 3 3" xfId="17589"/>
    <cellStyle name="输出 8 3 3 2" xfId="17590"/>
    <cellStyle name="输出 8 4 3" xfId="17591"/>
    <cellStyle name="输出 8 5 2" xfId="17592"/>
    <cellStyle name="输出 8 5 3" xfId="17593"/>
    <cellStyle name="输出 8 5 3 2" xfId="17594"/>
    <cellStyle name="输出 8 5 5 2" xfId="17595"/>
    <cellStyle name="输出 8 6 2" xfId="17596"/>
    <cellStyle name="输出 8 6 2 2" xfId="17597"/>
    <cellStyle name="输出 8 6 5 2" xfId="17598"/>
    <cellStyle name="输出 8 7" xfId="17599"/>
    <cellStyle name="输出 9 10" xfId="17600"/>
    <cellStyle name="输出 9 10 2" xfId="17601"/>
    <cellStyle name="输出 9 11" xfId="17602"/>
    <cellStyle name="输出 9 11 2" xfId="17603"/>
    <cellStyle name="输出 9 12" xfId="17604"/>
    <cellStyle name="输出 9 12 2" xfId="17605"/>
    <cellStyle name="输出 9 13" xfId="17606"/>
    <cellStyle name="输出 9 13 2" xfId="17607"/>
    <cellStyle name="输出 9 2 2 2" xfId="17608"/>
    <cellStyle name="输出 9 2 3" xfId="17609"/>
    <cellStyle name="输出 9 2 3 2" xfId="17610"/>
    <cellStyle name="输出 9 2 3 3" xfId="17611"/>
    <cellStyle name="输出 9 2 4" xfId="17612"/>
    <cellStyle name="输出 9 2 4 2" xfId="17613"/>
    <cellStyle name="输出 9 3 3" xfId="17614"/>
    <cellStyle name="输出 9 4 2 2" xfId="17615"/>
    <cellStyle name="输出 9 4 3" xfId="17616"/>
    <cellStyle name="输出 9 4 3 2" xfId="17617"/>
    <cellStyle name="输出 9 4 5 2" xfId="17618"/>
    <cellStyle name="输出 9 5 2" xfId="17619"/>
    <cellStyle name="输出 9 5 2 2" xfId="17620"/>
    <cellStyle name="输出 9 5 3" xfId="17621"/>
    <cellStyle name="输出 9 5 3 2" xfId="17622"/>
    <cellStyle name="输出 9 5 4 2" xfId="17623"/>
    <cellStyle name="输出 9 5 5" xfId="17624"/>
    <cellStyle name="输出 9 5 5 2" xfId="17625"/>
    <cellStyle name="输出 9 6 2" xfId="17626"/>
    <cellStyle name="输出 9 6 2 2" xfId="17627"/>
    <cellStyle name="输出 9 7" xfId="17628"/>
    <cellStyle name="输入 10 10" xfId="17629"/>
    <cellStyle name="注释 3 2 3" xfId="17630"/>
    <cellStyle name="输入 10 11" xfId="17631"/>
    <cellStyle name="注释 3 2 4" xfId="17632"/>
    <cellStyle name="输入 10 2 2" xfId="17633"/>
    <cellStyle name="输入 10 2 2 2" xfId="17634"/>
    <cellStyle name="输入 10 2 3 2" xfId="17635"/>
    <cellStyle name="输入 10 2 6" xfId="17636"/>
    <cellStyle name="输入 10 3 2" xfId="17637"/>
    <cellStyle name="输入 10 3 2 2" xfId="17638"/>
    <cellStyle name="输入 10 3 3" xfId="17639"/>
    <cellStyle name="输入 10 3 5" xfId="17640"/>
    <cellStyle name="输入 10 4 2" xfId="17641"/>
    <cellStyle name="输入 10 4 3" xfId="17642"/>
    <cellStyle name="输入 10 4 4" xfId="17643"/>
    <cellStyle name="输入 10 4 5" xfId="17644"/>
    <cellStyle name="输入 10 5 2" xfId="17645"/>
    <cellStyle name="输入 10 6" xfId="17646"/>
    <cellStyle name="输入 10 7" xfId="17647"/>
    <cellStyle name="输入 11 11" xfId="17648"/>
    <cellStyle name="输入 11 12" xfId="17649"/>
    <cellStyle name="输入 11 13" xfId="17650"/>
    <cellStyle name="输入 11 14" xfId="17651"/>
    <cellStyle name="输入 11 15" xfId="17652"/>
    <cellStyle name="输入 11 16" xfId="17653"/>
    <cellStyle name="输入 11 2" xfId="17654"/>
    <cellStyle name="输入 11 2 2" xfId="17655"/>
    <cellStyle name="输入 11 2 2 2" xfId="17656"/>
    <cellStyle name="输入 11 2 3" xfId="17657"/>
    <cellStyle name="输入 11 2 3 2" xfId="17658"/>
    <cellStyle name="输入 11 2 6" xfId="17659"/>
    <cellStyle name="输入 11 3" xfId="17660"/>
    <cellStyle name="输入 11 3 2" xfId="17661"/>
    <cellStyle name="输入 11 3 2 2" xfId="17662"/>
    <cellStyle name="输入 11 3 3" xfId="17663"/>
    <cellStyle name="输入 11 4" xfId="17664"/>
    <cellStyle name="输入 11 4 2" xfId="17665"/>
    <cellStyle name="输入 11 4 3" xfId="17666"/>
    <cellStyle name="输入 11 4 4" xfId="17667"/>
    <cellStyle name="输入 11 4 5" xfId="17668"/>
    <cellStyle name="输入 11 5" xfId="17669"/>
    <cellStyle name="输入 11 5 2" xfId="17670"/>
    <cellStyle name="输入 11 5 3" xfId="17671"/>
    <cellStyle name="输入 11 5 4" xfId="17672"/>
    <cellStyle name="输入 11 5 5" xfId="17673"/>
    <cellStyle name="输入 11 6" xfId="17674"/>
    <cellStyle name="输入 11 6 2" xfId="17675"/>
    <cellStyle name="输入 11 6 3" xfId="17676"/>
    <cellStyle name="输入 11 6 4" xfId="17677"/>
    <cellStyle name="输入 11 6 5" xfId="17678"/>
    <cellStyle name="输入 11 7" xfId="17679"/>
    <cellStyle name="输入 12" xfId="17680"/>
    <cellStyle name="输入 12 10" xfId="17681"/>
    <cellStyle name="输入 12 11" xfId="17682"/>
    <cellStyle name="输入 12 12" xfId="17683"/>
    <cellStyle name="输入 12 13" xfId="17684"/>
    <cellStyle name="输入 12 14" xfId="17685"/>
    <cellStyle name="输入 12 15" xfId="17686"/>
    <cellStyle name="输入 12 16" xfId="17687"/>
    <cellStyle name="输入 12 2 2" xfId="17688"/>
    <cellStyle name="输入 12 2 2 2" xfId="17689"/>
    <cellStyle name="输入 12 2 3" xfId="17690"/>
    <cellStyle name="输入 12 2 4" xfId="17691"/>
    <cellStyle name="输入 12 2 5" xfId="17692"/>
    <cellStyle name="输入 12 2 6" xfId="17693"/>
    <cellStyle name="输入 12 3" xfId="17694"/>
    <cellStyle name="输入 12 3 2" xfId="17695"/>
    <cellStyle name="输入 12 3 2 2" xfId="17696"/>
    <cellStyle name="输入 12 3 3" xfId="17697"/>
    <cellStyle name="输入 12 3 4" xfId="17698"/>
    <cellStyle name="输入 12 3 5" xfId="17699"/>
    <cellStyle name="输入 12 4" xfId="17700"/>
    <cellStyle name="输入 12 4 2" xfId="17701"/>
    <cellStyle name="输入 12 5" xfId="17702"/>
    <cellStyle name="输入 12 5 2" xfId="17703"/>
    <cellStyle name="输入 12 5 3" xfId="17704"/>
    <cellStyle name="输入 12 5 5" xfId="17705"/>
    <cellStyle name="输入 12 6" xfId="17706"/>
    <cellStyle name="输入 12 6 2" xfId="17707"/>
    <cellStyle name="输入 12 6 3" xfId="17708"/>
    <cellStyle name="输入 12 6 4" xfId="17709"/>
    <cellStyle name="输入 12 6 5" xfId="17710"/>
    <cellStyle name="输入 12 7" xfId="17711"/>
    <cellStyle name="输入 12 9" xfId="17712"/>
    <cellStyle name="输入 13" xfId="17713"/>
    <cellStyle name="输入 13 10" xfId="17714"/>
    <cellStyle name="输入 13 11" xfId="17715"/>
    <cellStyle name="输入 13 12" xfId="17716"/>
    <cellStyle name="输入 13 13" xfId="17717"/>
    <cellStyle name="输入 13 14" xfId="17718"/>
    <cellStyle name="输入 13 15" xfId="17719"/>
    <cellStyle name="输入 13 16" xfId="17720"/>
    <cellStyle name="输入 13 17" xfId="17721"/>
    <cellStyle name="注释 10 10" xfId="17722"/>
    <cellStyle name="输入 13 2" xfId="17723"/>
    <cellStyle name="输入 13 2 2" xfId="17724"/>
    <cellStyle name="输入 13 2 2 2" xfId="17725"/>
    <cellStyle name="输入 13 2 6" xfId="17726"/>
    <cellStyle name="输入 13 3" xfId="17727"/>
    <cellStyle name="输入 13 3 2" xfId="17728"/>
    <cellStyle name="输入 13 3 2 2" xfId="17729"/>
    <cellStyle name="输入 13 3 4" xfId="17730"/>
    <cellStyle name="输入 13 3 5" xfId="17731"/>
    <cellStyle name="输入 13 4" xfId="17732"/>
    <cellStyle name="输入 13 5" xfId="17733"/>
    <cellStyle name="输入 13 5 2" xfId="17734"/>
    <cellStyle name="输入 13 5 4" xfId="17735"/>
    <cellStyle name="输入 13 5 5" xfId="17736"/>
    <cellStyle name="输入 13 6" xfId="17737"/>
    <cellStyle name="输入 13 6 2" xfId="17738"/>
    <cellStyle name="输入 13 6 5" xfId="17739"/>
    <cellStyle name="输入 13 7" xfId="17740"/>
    <cellStyle name="输入 13 8" xfId="17741"/>
    <cellStyle name="输入 14" xfId="17742"/>
    <cellStyle name="输入 14 2" xfId="17743"/>
    <cellStyle name="输入 14 2 2" xfId="17744"/>
    <cellStyle name="输入 14 3" xfId="17745"/>
    <cellStyle name="输入 15" xfId="17746"/>
    <cellStyle name="输入 15 2" xfId="17747"/>
    <cellStyle name="输入 16" xfId="17748"/>
    <cellStyle name="输入 17" xfId="17749"/>
    <cellStyle name="输入 2 10" xfId="17750"/>
    <cellStyle name="输入 2 11" xfId="17751"/>
    <cellStyle name="输入 2 12" xfId="17752"/>
    <cellStyle name="输入 2 13" xfId="17753"/>
    <cellStyle name="输入 2 14" xfId="17754"/>
    <cellStyle name="输入 2 16" xfId="17755"/>
    <cellStyle name="输入 2 2 2 2" xfId="17756"/>
    <cellStyle name="输入 2 2 3" xfId="17757"/>
    <cellStyle name="输入 2 2 3 2" xfId="17758"/>
    <cellStyle name="输入 2 2 4" xfId="17759"/>
    <cellStyle name="输入 2 2 5" xfId="17760"/>
    <cellStyle name="输入 2 2 6" xfId="17761"/>
    <cellStyle name="输入 2 3 2" xfId="17762"/>
    <cellStyle name="输入 2 3 3" xfId="17763"/>
    <cellStyle name="输入 2 3 4" xfId="17764"/>
    <cellStyle name="输入 2 3 5" xfId="17765"/>
    <cellStyle name="输入 2 4 2" xfId="17766"/>
    <cellStyle name="输入 2 4 3" xfId="17767"/>
    <cellStyle name="输入 2 4 4" xfId="17768"/>
    <cellStyle name="输入 2 4 5" xfId="17769"/>
    <cellStyle name="输入 2 7" xfId="17770"/>
    <cellStyle name="输入 2 8" xfId="17771"/>
    <cellStyle name="输入 2 9" xfId="17772"/>
    <cellStyle name="输入 3 14" xfId="17773"/>
    <cellStyle name="输入 3 16" xfId="17774"/>
    <cellStyle name="输入 3 2 2 2" xfId="17775"/>
    <cellStyle name="输入 3 2 3" xfId="17776"/>
    <cellStyle name="输入 3 2 3 2" xfId="17777"/>
    <cellStyle name="输入 3 2 4" xfId="17778"/>
    <cellStyle name="输入 3 2 5" xfId="17779"/>
    <cellStyle name="输入 3 2 6" xfId="17780"/>
    <cellStyle name="输入 3 3 2 2" xfId="17781"/>
    <cellStyle name="输入 3 3 3" xfId="17782"/>
    <cellStyle name="输入 3 3 4" xfId="17783"/>
    <cellStyle name="输入 3 4 2" xfId="17784"/>
    <cellStyle name="输入 3 4 3" xfId="17785"/>
    <cellStyle name="输入 3 4 4" xfId="17786"/>
    <cellStyle name="输入 3 4 5" xfId="17787"/>
    <cellStyle name="输入 3 5 2" xfId="17788"/>
    <cellStyle name="输入 3 5 3" xfId="17789"/>
    <cellStyle name="输入 3 5 4" xfId="17790"/>
    <cellStyle name="输入 3 5 5" xfId="17791"/>
    <cellStyle name="输入 3 6 3" xfId="17792"/>
    <cellStyle name="输入 3 6 4" xfId="17793"/>
    <cellStyle name="输入 3 7" xfId="17794"/>
    <cellStyle name="输入 3 8" xfId="17795"/>
    <cellStyle name="输入 3 9" xfId="17796"/>
    <cellStyle name="输入 4" xfId="17797"/>
    <cellStyle name="输入 4 11" xfId="17798"/>
    <cellStyle name="输入 4 12" xfId="17799"/>
    <cellStyle name="输入 4 13" xfId="17800"/>
    <cellStyle name="输入 4 15" xfId="17801"/>
    <cellStyle name="输入 4 16" xfId="17802"/>
    <cellStyle name="输入 4 2" xfId="17803"/>
    <cellStyle name="输入 4 2 2" xfId="17804"/>
    <cellStyle name="输入 4 2 2 2" xfId="17805"/>
    <cellStyle name="注释 7 14" xfId="17806"/>
    <cellStyle name="输入 4 2 3" xfId="17807"/>
    <cellStyle name="输入 4 2 3 2" xfId="17808"/>
    <cellStyle name="输入 4 2 4" xfId="17809"/>
    <cellStyle name="输入 4 2 5" xfId="17810"/>
    <cellStyle name="输入 4 2 6" xfId="17811"/>
    <cellStyle name="输入 4 3" xfId="17812"/>
    <cellStyle name="输入 4 3 2" xfId="17813"/>
    <cellStyle name="输入 4 3 2 2" xfId="17814"/>
    <cellStyle name="输入 4 3 3" xfId="17815"/>
    <cellStyle name="输入 4 3 4" xfId="17816"/>
    <cellStyle name="输入 4 3 5" xfId="17817"/>
    <cellStyle name="输入 4 4" xfId="17818"/>
    <cellStyle name="输入 4 4 2" xfId="17819"/>
    <cellStyle name="输入 4 4 3" xfId="17820"/>
    <cellStyle name="输入 4 4 4" xfId="17821"/>
    <cellStyle name="输入 4 4 5" xfId="17822"/>
    <cellStyle name="输入 4 5" xfId="17823"/>
    <cellStyle name="输入 4 5 2" xfId="17824"/>
    <cellStyle name="输入 4 5 3" xfId="17825"/>
    <cellStyle name="输入 4 5 4" xfId="17826"/>
    <cellStyle name="输入 4 5 5" xfId="17827"/>
    <cellStyle name="输入 4 6 4" xfId="17828"/>
    <cellStyle name="输入 4 6 5" xfId="17829"/>
    <cellStyle name="输入 4 7" xfId="17830"/>
    <cellStyle name="输入 4 8" xfId="17831"/>
    <cellStyle name="输入 4 9" xfId="17832"/>
    <cellStyle name="输入 5" xfId="17833"/>
    <cellStyle name="输入 5 10" xfId="17834"/>
    <cellStyle name="输入 5 2 2" xfId="17835"/>
    <cellStyle name="输入 6 3" xfId="17836"/>
    <cellStyle name="输入 5 2 2 2" xfId="17837"/>
    <cellStyle name="输入 6 3 2" xfId="17838"/>
    <cellStyle name="输入 5 2 3" xfId="17839"/>
    <cellStyle name="输入 6 4" xfId="17840"/>
    <cellStyle name="输入 5 2 3 2" xfId="17841"/>
    <cellStyle name="输入 6 4 2" xfId="17842"/>
    <cellStyle name="输入 5 2 4" xfId="17843"/>
    <cellStyle name="输入 6 5" xfId="17844"/>
    <cellStyle name="输入 5 2 6" xfId="17845"/>
    <cellStyle name="输入 6 7" xfId="17846"/>
    <cellStyle name="输入 5 3 2" xfId="17847"/>
    <cellStyle name="输入 7 3" xfId="17848"/>
    <cellStyle name="注释 4" xfId="17849"/>
    <cellStyle name="输入 5 3 3" xfId="17850"/>
    <cellStyle name="输入 7 4" xfId="17851"/>
    <cellStyle name="注释 5" xfId="17852"/>
    <cellStyle name="输入 5 3 4" xfId="17853"/>
    <cellStyle name="输入 7 5" xfId="17854"/>
    <cellStyle name="注释 6" xfId="17855"/>
    <cellStyle name="输入 5 4 2" xfId="17856"/>
    <cellStyle name="输入 8 3" xfId="17857"/>
    <cellStyle name="输入 5 4 3" xfId="17858"/>
    <cellStyle name="输入 8 4" xfId="17859"/>
    <cellStyle name="输入 5 4 4" xfId="17860"/>
    <cellStyle name="输入 8 5" xfId="17861"/>
    <cellStyle name="输入 5 4 5" xfId="17862"/>
    <cellStyle name="输入 8 6" xfId="17863"/>
    <cellStyle name="输入 5 5" xfId="17864"/>
    <cellStyle name="输入 5 5 2" xfId="17865"/>
    <cellStyle name="输入 9 3" xfId="17866"/>
    <cellStyle name="输入 5 5 3" xfId="17867"/>
    <cellStyle name="输入 9 4" xfId="17868"/>
    <cellStyle name="输入 5 5 4" xfId="17869"/>
    <cellStyle name="输入 9 5" xfId="17870"/>
    <cellStyle name="输入 5 5 5" xfId="17871"/>
    <cellStyle name="输入 9 6" xfId="17872"/>
    <cellStyle name="输入 5 6 4" xfId="17873"/>
    <cellStyle name="输入 5 7" xfId="17874"/>
    <cellStyle name="输入 5 8" xfId="17875"/>
    <cellStyle name="输入 5 9" xfId="17876"/>
    <cellStyle name="输入 6 10" xfId="17877"/>
    <cellStyle name="输入 6 12" xfId="17878"/>
    <cellStyle name="输入 6 13" xfId="17879"/>
    <cellStyle name="输入 6 14" xfId="17880"/>
    <cellStyle name="输入 6 15" xfId="17881"/>
    <cellStyle name="输入 6 2" xfId="17882"/>
    <cellStyle name="输入 6 2 2" xfId="17883"/>
    <cellStyle name="输入 6 2 2 2" xfId="17884"/>
    <cellStyle name="输入 6 2 3" xfId="17885"/>
    <cellStyle name="输入 6 2 3 2" xfId="17886"/>
    <cellStyle name="输入 6 2 4" xfId="17887"/>
    <cellStyle name="输入 6 2 5" xfId="17888"/>
    <cellStyle name="输入 6 2 6" xfId="17889"/>
    <cellStyle name="输入 6 3 3" xfId="17890"/>
    <cellStyle name="输入 6 3 4" xfId="17891"/>
    <cellStyle name="输入 6 3 5" xfId="17892"/>
    <cellStyle name="输入 6 4 3" xfId="17893"/>
    <cellStyle name="输入 6 4 4" xfId="17894"/>
    <cellStyle name="输入 6 4 5" xfId="17895"/>
    <cellStyle name="输入 6 5 2" xfId="17896"/>
    <cellStyle name="输入 6 5 3" xfId="17897"/>
    <cellStyle name="输入 6 5 4" xfId="17898"/>
    <cellStyle name="输入 6 5 5" xfId="17899"/>
    <cellStyle name="输入 6 6 4" xfId="17900"/>
    <cellStyle name="输入 6 6 5" xfId="17901"/>
    <cellStyle name="输入 6 8" xfId="17902"/>
    <cellStyle name="输入 6 9" xfId="17903"/>
    <cellStyle name="输入 7" xfId="17904"/>
    <cellStyle name="输入 7 10" xfId="17905"/>
    <cellStyle name="注释 15" xfId="17906"/>
    <cellStyle name="注释 20" xfId="17907"/>
    <cellStyle name="输入 7 11" xfId="17908"/>
    <cellStyle name="注释 16" xfId="17909"/>
    <cellStyle name="注释 21" xfId="17910"/>
    <cellStyle name="输入 7 12" xfId="17911"/>
    <cellStyle name="注释 17" xfId="17912"/>
    <cellStyle name="注释 22" xfId="17913"/>
    <cellStyle name="输入 7 13" xfId="17914"/>
    <cellStyle name="注释 18" xfId="17915"/>
    <cellStyle name="注释 23" xfId="17916"/>
    <cellStyle name="输入 7 15" xfId="17917"/>
    <cellStyle name="注释 25" xfId="17918"/>
    <cellStyle name="输入 7 16" xfId="17919"/>
    <cellStyle name="注释 26" xfId="17920"/>
    <cellStyle name="输入 7 2" xfId="17921"/>
    <cellStyle name="注释 3" xfId="17922"/>
    <cellStyle name="输入 7 2 2 2" xfId="17923"/>
    <cellStyle name="注释 3 2 2" xfId="17924"/>
    <cellStyle name="输入 7 2 3 2" xfId="17925"/>
    <cellStyle name="注释 3 3 2" xfId="17926"/>
    <cellStyle name="输入 7 2 5" xfId="17927"/>
    <cellStyle name="注释 3 5" xfId="17928"/>
    <cellStyle name="输入 7 2 6" xfId="17929"/>
    <cellStyle name="注释 3 6" xfId="17930"/>
    <cellStyle name="输入 7 4 2" xfId="17931"/>
    <cellStyle name="注释 5 2" xfId="17932"/>
    <cellStyle name="输入 7 4 3" xfId="17933"/>
    <cellStyle name="注释 5 3" xfId="17934"/>
    <cellStyle name="输入 7 4 5" xfId="17935"/>
    <cellStyle name="注释 5 5" xfId="17936"/>
    <cellStyle name="输入 7 5 2" xfId="17937"/>
    <cellStyle name="注释 6 2" xfId="17938"/>
    <cellStyle name="输入 7 5 3" xfId="17939"/>
    <cellStyle name="注释 6 3" xfId="17940"/>
    <cellStyle name="输入 7 5 4" xfId="17941"/>
    <cellStyle name="注释 6 4" xfId="17942"/>
    <cellStyle name="输入 7 5 5" xfId="17943"/>
    <cellStyle name="注释 6 5" xfId="17944"/>
    <cellStyle name="输入 7 6 3" xfId="17945"/>
    <cellStyle name="注释 7 3" xfId="17946"/>
    <cellStyle name="输入 7 6 4" xfId="17947"/>
    <cellStyle name="注释 7 4" xfId="17948"/>
    <cellStyle name="输入 7 6 5" xfId="17949"/>
    <cellStyle name="注释 7 5" xfId="17950"/>
    <cellStyle name="输入 7 7" xfId="17951"/>
    <cellStyle name="注释 8" xfId="17952"/>
    <cellStyle name="输入 7 8" xfId="17953"/>
    <cellStyle name="注释 9" xfId="17954"/>
    <cellStyle name="输入 7 9" xfId="17955"/>
    <cellStyle name="输入 8 12" xfId="17956"/>
    <cellStyle name="输入 8 13" xfId="17957"/>
    <cellStyle name="输入 8 14" xfId="17958"/>
    <cellStyle name="输入 8 15" xfId="17959"/>
    <cellStyle name="输入 8 16" xfId="17960"/>
    <cellStyle name="输入 8 2" xfId="17961"/>
    <cellStyle name="输入 8 2 2" xfId="17962"/>
    <cellStyle name="输入 8 2 2 2" xfId="17963"/>
    <cellStyle name="输入 8 2 3 2" xfId="17964"/>
    <cellStyle name="输入 8 2 4" xfId="17965"/>
    <cellStyle name="输入 8 2 5" xfId="17966"/>
    <cellStyle name="输入 8 2 6" xfId="17967"/>
    <cellStyle name="输入 8 3 2" xfId="17968"/>
    <cellStyle name="输入 8 3 2 2" xfId="17969"/>
    <cellStyle name="输入 8 3 3" xfId="17970"/>
    <cellStyle name="输入 8 3 5" xfId="17971"/>
    <cellStyle name="输入 8 4 2" xfId="17972"/>
    <cellStyle name="输入 8 4 3" xfId="17973"/>
    <cellStyle name="输入 8 4 4" xfId="17974"/>
    <cellStyle name="输入 8 4 5" xfId="17975"/>
    <cellStyle name="输入 8 5 2" xfId="17976"/>
    <cellStyle name="输入 8 5 3" xfId="17977"/>
    <cellStyle name="输入 8 5 4" xfId="17978"/>
    <cellStyle name="输入 8 5 5" xfId="17979"/>
    <cellStyle name="输入 8 6 2" xfId="17980"/>
    <cellStyle name="输入 8 6 3" xfId="17981"/>
    <cellStyle name="输入 8 6 4" xfId="17982"/>
    <cellStyle name="输入 8 6 5" xfId="17983"/>
    <cellStyle name="输入 8 7" xfId="17984"/>
    <cellStyle name="输入 8 8" xfId="17985"/>
    <cellStyle name="输入 8 9" xfId="17986"/>
    <cellStyle name="输入 9" xfId="17987"/>
    <cellStyle name="输入 9 10" xfId="17988"/>
    <cellStyle name="输入 9 11" xfId="17989"/>
    <cellStyle name="输入 9 12" xfId="17990"/>
    <cellStyle name="输入 9 13" xfId="17991"/>
    <cellStyle name="输入 9 15" xfId="17992"/>
    <cellStyle name="输入 9 16" xfId="17993"/>
    <cellStyle name="输入 9 2" xfId="17994"/>
    <cellStyle name="输入 9 2 2" xfId="17995"/>
    <cellStyle name="输入 9 2 2 2" xfId="17996"/>
    <cellStyle name="输入 9 2 3 2" xfId="17997"/>
    <cellStyle name="输入 9 2 4" xfId="17998"/>
    <cellStyle name="输入 9 2 5" xfId="17999"/>
    <cellStyle name="输入 9 2 6" xfId="18000"/>
    <cellStyle name="输入 9 3 2" xfId="18001"/>
    <cellStyle name="输入 9 3 2 2" xfId="18002"/>
    <cellStyle name="输入 9 3 3" xfId="18003"/>
    <cellStyle name="输入 9 3 4" xfId="18004"/>
    <cellStyle name="输入 9 3 5" xfId="18005"/>
    <cellStyle name="输入 9 4 3" xfId="18006"/>
    <cellStyle name="输入 9 4 4" xfId="18007"/>
    <cellStyle name="输入 9 4 5" xfId="18008"/>
    <cellStyle name="输入 9 5 3" xfId="18009"/>
    <cellStyle name="输入 9 6 2" xfId="18010"/>
    <cellStyle name="输入 9 6 3" xfId="18011"/>
    <cellStyle name="输入 9 6 5" xfId="18012"/>
    <cellStyle name="输入 9 7" xfId="18013"/>
    <cellStyle name="输入 9 8" xfId="18014"/>
    <cellStyle name="输入 9 9" xfId="18015"/>
    <cellStyle name="数量" xfId="18016"/>
    <cellStyle name="通貨_１１月価格表" xfId="18017"/>
    <cellStyle name="样式 1 10" xfId="18018"/>
    <cellStyle name="样式 1 11" xfId="18019"/>
    <cellStyle name="样式 1 2 10" xfId="18020"/>
    <cellStyle name="样式 1 2 11" xfId="18021"/>
    <cellStyle name="样式 1 2 12" xfId="18022"/>
    <cellStyle name="样式 1 2 13" xfId="18023"/>
    <cellStyle name="样式 1 2 2" xfId="18024"/>
    <cellStyle name="样式 1 2 2 2" xfId="18025"/>
    <cellStyle name="样式 1 2 2 3" xfId="18026"/>
    <cellStyle name="样式 1 2 3" xfId="18027"/>
    <cellStyle name="样式 1 2 3 2" xfId="18028"/>
    <cellStyle name="样式 1 3" xfId="18029"/>
    <cellStyle name="样式 1 3 2" xfId="18030"/>
    <cellStyle name="样式 1 3 2 2" xfId="18031"/>
    <cellStyle name="样式 1 4" xfId="18032"/>
    <cellStyle name="样式 1 5" xfId="18033"/>
    <cellStyle name="样式 1 5 2" xfId="18034"/>
    <cellStyle name="样式 1 6" xfId="18035"/>
    <cellStyle name="样式 1 6 2" xfId="18036"/>
    <cellStyle name="样式 1 7" xfId="18037"/>
    <cellStyle name="样式 1 8" xfId="18038"/>
    <cellStyle name="样式 1 9" xfId="18039"/>
    <cellStyle name="一般_20070331信升調節資料" xfId="18040"/>
    <cellStyle name="昗弨_BOOKSHIP" xfId="18041"/>
    <cellStyle name="寘嬫愗傝 [0.00]_PRODUCT DETAIL Q1" xfId="18042"/>
    <cellStyle name="寘嬫愗傝_PRODUCT DETAIL Q1" xfId="18043"/>
    <cellStyle name="注释 10" xfId="18044"/>
    <cellStyle name="注释 10 11" xfId="18045"/>
    <cellStyle name="注释 10 13" xfId="18046"/>
    <cellStyle name="注释 10 2" xfId="18047"/>
    <cellStyle name="注释 10 2 2" xfId="18048"/>
    <cellStyle name="注释 10 2 2 2" xfId="18049"/>
    <cellStyle name="注释 10 2 3" xfId="18050"/>
    <cellStyle name="注释 10 2 3 2" xfId="18051"/>
    <cellStyle name="注释 10 2 4" xfId="18052"/>
    <cellStyle name="注释 10 2 5" xfId="18053"/>
    <cellStyle name="注释 10 3" xfId="18054"/>
    <cellStyle name="注释 10 3 2" xfId="18055"/>
    <cellStyle name="注释 10 3 2 2" xfId="18056"/>
    <cellStyle name="注释 10 3 3" xfId="18057"/>
    <cellStyle name="注释 10 3 3 2" xfId="18058"/>
    <cellStyle name="注释 10 3 4" xfId="18059"/>
    <cellStyle name="注释 10 3 5" xfId="18060"/>
    <cellStyle name="注释 10 4 2 2" xfId="18061"/>
    <cellStyle name="注释 10 4 3" xfId="18062"/>
    <cellStyle name="注释 10 4 5" xfId="18063"/>
    <cellStyle name="注释 10 5 2" xfId="18064"/>
    <cellStyle name="注释 10 6" xfId="18065"/>
    <cellStyle name="注释 10 6 2" xfId="18066"/>
    <cellStyle name="注释 10 6 3" xfId="18067"/>
    <cellStyle name="注释 10 6 4" xfId="18068"/>
    <cellStyle name="注释 10 6 5" xfId="18069"/>
    <cellStyle name="注释 10 7" xfId="18070"/>
    <cellStyle name="注释 10 8" xfId="18071"/>
    <cellStyle name="注释 11" xfId="18072"/>
    <cellStyle name="注释 11 10" xfId="18073"/>
    <cellStyle name="注释 11 11" xfId="18074"/>
    <cellStyle name="注释 11 14" xfId="18075"/>
    <cellStyle name="注释 11 15" xfId="18076"/>
    <cellStyle name="注释 11 16" xfId="18077"/>
    <cellStyle name="注释 11 2" xfId="18078"/>
    <cellStyle name="注释 11 3" xfId="18079"/>
    <cellStyle name="注释 11 8" xfId="18080"/>
    <cellStyle name="注释 11 9" xfId="18081"/>
    <cellStyle name="注释 12" xfId="18082"/>
    <cellStyle name="注释 12 15" xfId="18083"/>
    <cellStyle name="注释 12 2" xfId="18084"/>
    <cellStyle name="注释 12 2 2" xfId="18085"/>
    <cellStyle name="注释 12 2 2 2" xfId="18086"/>
    <cellStyle name="注释 12 2 3" xfId="18087"/>
    <cellStyle name="注释 12 2 3 2" xfId="18088"/>
    <cellStyle name="注释 12 2 4" xfId="18089"/>
    <cellStyle name="注释 12 2 5" xfId="18090"/>
    <cellStyle name="注释 12 3 2 2" xfId="18091"/>
    <cellStyle name="注释 12 3 3" xfId="18092"/>
    <cellStyle name="注释 12 3 3 2" xfId="18093"/>
    <cellStyle name="注释 12 3 4" xfId="18094"/>
    <cellStyle name="注释 12 3 5" xfId="18095"/>
    <cellStyle name="注释 12 4 2 2" xfId="18096"/>
    <cellStyle name="注释 12 4 3" xfId="18097"/>
    <cellStyle name="注释 12 4 4" xfId="18098"/>
    <cellStyle name="注释 12 4 5" xfId="18099"/>
    <cellStyle name="注释 12 5 3" xfId="18100"/>
    <cellStyle name="注释 12 5 4" xfId="18101"/>
    <cellStyle name="注释 12 5 5" xfId="18102"/>
    <cellStyle name="注释 12 6 3" xfId="18103"/>
    <cellStyle name="注释 12 6 4" xfId="18104"/>
    <cellStyle name="注释 12 6 5" xfId="18105"/>
    <cellStyle name="注释 13" xfId="18106"/>
    <cellStyle name="注释 13 10" xfId="18107"/>
    <cellStyle name="注释 13 11" xfId="18108"/>
    <cellStyle name="注释 13 12" xfId="18109"/>
    <cellStyle name="注释 13 13" xfId="18110"/>
    <cellStyle name="注释 13 14" xfId="18111"/>
    <cellStyle name="注释 13 15" xfId="18112"/>
    <cellStyle name="注释 13 16" xfId="18113"/>
    <cellStyle name="注释 13 2" xfId="18114"/>
    <cellStyle name="注释 13 2 3 2" xfId="18115"/>
    <cellStyle name="注释 13 2 5" xfId="18116"/>
    <cellStyle name="注释 13 3" xfId="18117"/>
    <cellStyle name="注释 13 3 3 2" xfId="18118"/>
    <cellStyle name="注释 13 3 5" xfId="18119"/>
    <cellStyle name="注释 13 4 2 2" xfId="18120"/>
    <cellStyle name="注释 13 4 3" xfId="18121"/>
    <cellStyle name="注释 13 4 4" xfId="18122"/>
    <cellStyle name="注释 13 4 5" xfId="18123"/>
    <cellStyle name="注释 13 6 3" xfId="18124"/>
    <cellStyle name="注释 13 7 2" xfId="18125"/>
    <cellStyle name="注释 14" xfId="18126"/>
    <cellStyle name="注释 14 10" xfId="18127"/>
    <cellStyle name="注释 14 11" xfId="18128"/>
    <cellStyle name="注释 14 12" xfId="18129"/>
    <cellStyle name="注释 14 2" xfId="18130"/>
    <cellStyle name="注释 14 2 2" xfId="18131"/>
    <cellStyle name="注释 14 2 2 2" xfId="18132"/>
    <cellStyle name="注释 14 2 3" xfId="18133"/>
    <cellStyle name="注释 14 3" xfId="18134"/>
    <cellStyle name="注释 14 3 2" xfId="18135"/>
    <cellStyle name="注释 14 3 2 2" xfId="18136"/>
    <cellStyle name="注释 14 3 3" xfId="18137"/>
    <cellStyle name="注释 14 4 2" xfId="18138"/>
    <cellStyle name="注释 14 5" xfId="18139"/>
    <cellStyle name="注释 14 5 2" xfId="18140"/>
    <cellStyle name="注释 14 6 2" xfId="18141"/>
    <cellStyle name="注释 15 12" xfId="18142"/>
    <cellStyle name="注释 20 12" xfId="18143"/>
    <cellStyle name="注释 15 2" xfId="18144"/>
    <cellStyle name="注释 20 2" xfId="18145"/>
    <cellStyle name="注释 15 2 2 2" xfId="18146"/>
    <cellStyle name="注释 20 2 2 2" xfId="18147"/>
    <cellStyle name="注释 15 3" xfId="18148"/>
    <cellStyle name="注释 20 3" xfId="18149"/>
    <cellStyle name="注释 15 3 2 2" xfId="18150"/>
    <cellStyle name="注释 20 3 2 2" xfId="18151"/>
    <cellStyle name="注释 15 4" xfId="18152"/>
    <cellStyle name="注释 20 4" xfId="18153"/>
    <cellStyle name="注释 15 5" xfId="18154"/>
    <cellStyle name="注释 20 5" xfId="18155"/>
    <cellStyle name="注释 15 6" xfId="18156"/>
    <cellStyle name="注释 20 6" xfId="18157"/>
    <cellStyle name="注释 15 9" xfId="18158"/>
    <cellStyle name="注释 20 9" xfId="18159"/>
    <cellStyle name="注释 16 2" xfId="18160"/>
    <cellStyle name="注释 21 2" xfId="18161"/>
    <cellStyle name="注释 16 3" xfId="18162"/>
    <cellStyle name="注释 21 3" xfId="18163"/>
    <cellStyle name="注释 16 4" xfId="18164"/>
    <cellStyle name="注释 21 4" xfId="18165"/>
    <cellStyle name="注释 16 5" xfId="18166"/>
    <cellStyle name="注释 21 5" xfId="18167"/>
    <cellStyle name="注释 16 6" xfId="18168"/>
    <cellStyle name="注释 21 6" xfId="18169"/>
    <cellStyle name="注释 16 7" xfId="18170"/>
    <cellStyle name="注释 21 7" xfId="18171"/>
    <cellStyle name="注释 16 9" xfId="18172"/>
    <cellStyle name="注释 21 9" xfId="18173"/>
    <cellStyle name="注释 17 12" xfId="18174"/>
    <cellStyle name="注释 22 12" xfId="18175"/>
    <cellStyle name="注释 17 2" xfId="18176"/>
    <cellStyle name="注释 22 2" xfId="18177"/>
    <cellStyle name="注释 18 3 2 2" xfId="18178"/>
    <cellStyle name="注释 18 6" xfId="18179"/>
    <cellStyle name="注释 18 7" xfId="18180"/>
    <cellStyle name="注释 18 8" xfId="18181"/>
    <cellStyle name="注释 18 9" xfId="18182"/>
    <cellStyle name="注释 19 12" xfId="18183"/>
    <cellStyle name="注释 19 2" xfId="18184"/>
    <cellStyle name="注释 24 2" xfId="18185"/>
    <cellStyle name="注释 19 3" xfId="18186"/>
    <cellStyle name="注释 19 3 2 2" xfId="18187"/>
    <cellStyle name="注释 19 5" xfId="18188"/>
    <cellStyle name="注释 19 6" xfId="18189"/>
    <cellStyle name="注释 19 7" xfId="18190"/>
    <cellStyle name="注释 19 8" xfId="18191"/>
    <cellStyle name="注释 19 9" xfId="18192"/>
    <cellStyle name="注释 2" xfId="18193"/>
    <cellStyle name="注释 2 10" xfId="18194"/>
    <cellStyle name="注释 2 12" xfId="18195"/>
    <cellStyle name="注释 2 13" xfId="18196"/>
    <cellStyle name="注释 2 14" xfId="18197"/>
    <cellStyle name="注释 2 15" xfId="18198"/>
    <cellStyle name="注释 2 2 2 2" xfId="18199"/>
    <cellStyle name="注释 2 2 2 2 2" xfId="18200"/>
    <cellStyle name="注释 4 6" xfId="18201"/>
    <cellStyle name="注释 2 2 2 2 3" xfId="18202"/>
    <cellStyle name="注释 4 7" xfId="18203"/>
    <cellStyle name="注释 2 2 3 2" xfId="18204"/>
    <cellStyle name="注释 2 2 4 2" xfId="18205"/>
    <cellStyle name="注释 2 3 2" xfId="18206"/>
    <cellStyle name="注释 2 3 3" xfId="18207"/>
    <cellStyle name="注释 2 3 3 2" xfId="18208"/>
    <cellStyle name="注释 2 3 4" xfId="18209"/>
    <cellStyle name="注释 2 4 2" xfId="18210"/>
    <cellStyle name="注释 2 4 3 2" xfId="18211"/>
    <cellStyle name="注释 2 5" xfId="18212"/>
    <cellStyle name="注释 2 5 2" xfId="18213"/>
    <cellStyle name="注释 2 6" xfId="18214"/>
    <cellStyle name="注释 2 6 2" xfId="18215"/>
    <cellStyle name="注释 2 6 5" xfId="18216"/>
    <cellStyle name="注释 2 7" xfId="18217"/>
    <cellStyle name="注释 2 8" xfId="18218"/>
    <cellStyle name="注释 2 8 2" xfId="18219"/>
    <cellStyle name="注释 2 9" xfId="18220"/>
    <cellStyle name="注释 3 12" xfId="18221"/>
    <cellStyle name="注释 3 13" xfId="18222"/>
    <cellStyle name="注释 3 14" xfId="18223"/>
    <cellStyle name="注释 3 16" xfId="18224"/>
    <cellStyle name="注释 3 3 3" xfId="18225"/>
    <cellStyle name="注释 3 3 4" xfId="18226"/>
    <cellStyle name="注释 3 4 2" xfId="18227"/>
    <cellStyle name="注释 3 4 3" xfId="18228"/>
    <cellStyle name="注释 3 4 4" xfId="18229"/>
    <cellStyle name="注释 3 5 2" xfId="18230"/>
    <cellStyle name="注释 3 6 2" xfId="18231"/>
    <cellStyle name="注释 3 6 5" xfId="18232"/>
    <cellStyle name="注释 3 7 2" xfId="18233"/>
    <cellStyle name="注释 3 8" xfId="18234"/>
    <cellStyle name="注释 3 9" xfId="18235"/>
    <cellStyle name="注释 4 13" xfId="18236"/>
    <cellStyle name="注释 4 14" xfId="18237"/>
    <cellStyle name="注释 4 15" xfId="18238"/>
    <cellStyle name="注释 4 16" xfId="18239"/>
    <cellStyle name="注释 4 2 2 2" xfId="18240"/>
    <cellStyle name="注释 4 2 6" xfId="18241"/>
    <cellStyle name="注释 4 3 3" xfId="18242"/>
    <cellStyle name="注释 4 3 3 2" xfId="18243"/>
    <cellStyle name="注释 4 3 5" xfId="18244"/>
    <cellStyle name="注释 4 4 5" xfId="18245"/>
    <cellStyle name="注释 4 5 2" xfId="18246"/>
    <cellStyle name="注释 4 6 2" xfId="18247"/>
    <cellStyle name="注释 4 7 2" xfId="18248"/>
    <cellStyle name="注释 4 8" xfId="18249"/>
    <cellStyle name="注释 4 9" xfId="18250"/>
    <cellStyle name="注释 5 12" xfId="18251"/>
    <cellStyle name="注释 5 13" xfId="18252"/>
    <cellStyle name="注释 5 14" xfId="18253"/>
    <cellStyle name="注释 5 15" xfId="18254"/>
    <cellStyle name="注释 5 16" xfId="18255"/>
    <cellStyle name="注释 5 2 2 2" xfId="18256"/>
    <cellStyle name="注释 5 3 2 2" xfId="18257"/>
    <cellStyle name="注释 5 3 3" xfId="18258"/>
    <cellStyle name="注释 5 3 3 2" xfId="18259"/>
    <cellStyle name="注释 5 3 4" xfId="18260"/>
    <cellStyle name="注释 5 3 5" xfId="18261"/>
    <cellStyle name="注释 5 4 2 2" xfId="18262"/>
    <cellStyle name="注释 5 4 3" xfId="18263"/>
    <cellStyle name="注释 5 4 4" xfId="18264"/>
    <cellStyle name="注释 5 4 5" xfId="18265"/>
    <cellStyle name="注释 5 5 2" xfId="18266"/>
    <cellStyle name="注释 6 12" xfId="18267"/>
    <cellStyle name="注释 6 13" xfId="18268"/>
    <cellStyle name="注释 6 14" xfId="18269"/>
    <cellStyle name="注释 6 15" xfId="18270"/>
    <cellStyle name="注释 6 16" xfId="18271"/>
    <cellStyle name="注释 6 2 4" xfId="18272"/>
    <cellStyle name="注释 6 2 5" xfId="18273"/>
    <cellStyle name="注释 6 2 6" xfId="18274"/>
    <cellStyle name="注释 6 3 2 2" xfId="18275"/>
    <cellStyle name="注释 6 3 3" xfId="18276"/>
    <cellStyle name="注释 6 3 3 2" xfId="18277"/>
    <cellStyle name="注释 6 3 4" xfId="18278"/>
    <cellStyle name="注释 6 3 5" xfId="18279"/>
    <cellStyle name="注释 6 4 2 2" xfId="18280"/>
    <cellStyle name="注释 6 4 3" xfId="18281"/>
    <cellStyle name="注释 6 5 2" xfId="18282"/>
    <cellStyle name="注释 7 12" xfId="18283"/>
    <cellStyle name="注释 7 13" xfId="18284"/>
    <cellStyle name="注释 7 15" xfId="18285"/>
    <cellStyle name="注释 7 16" xfId="18286"/>
    <cellStyle name="注释 7 2 2 2" xfId="18287"/>
    <cellStyle name="注释 7 2 4" xfId="18288"/>
    <cellStyle name="注释 7 2 5" xfId="18289"/>
    <cellStyle name="注释 7 2 6" xfId="18290"/>
    <cellStyle name="注释 7 3 2 2" xfId="18291"/>
    <cellStyle name="注释 7 3 3" xfId="18292"/>
    <cellStyle name="注释 7 3 3 2" xfId="18293"/>
    <cellStyle name="注释 7 3 4" xfId="18294"/>
    <cellStyle name="注释 7 3 5" xfId="18295"/>
    <cellStyle name="注释 7 4 2" xfId="18296"/>
    <cellStyle name="注释 7 4 2 2" xfId="18297"/>
    <cellStyle name="注释 7 4 3" xfId="18298"/>
    <cellStyle name="注释 7 5 2" xfId="18299"/>
    <cellStyle name="注释 7 6 2" xfId="18300"/>
    <cellStyle name="注释 7 6 5" xfId="18301"/>
    <cellStyle name="注释 8 12" xfId="18302"/>
    <cellStyle name="注释 8 13" xfId="18303"/>
    <cellStyle name="注释 8 14" xfId="18304"/>
    <cellStyle name="注释 8 16" xfId="18305"/>
    <cellStyle name="注释 8 2 2" xfId="18306"/>
    <cellStyle name="注释 8 2 6" xfId="18307"/>
    <cellStyle name="注释 8 3 2" xfId="18308"/>
    <cellStyle name="注释 8 3 2 2" xfId="18309"/>
    <cellStyle name="注释 8 4 2" xfId="18310"/>
    <cellStyle name="注释 8 4 2 2" xfId="18311"/>
    <cellStyle name="注释 8 5 2" xfId="18312"/>
    <cellStyle name="注释 8 6 2" xfId="18313"/>
    <cellStyle name="注释 8 6 5" xfId="18314"/>
    <cellStyle name="注释 8 7 2" xfId="18315"/>
    <cellStyle name="注释 9 13" xfId="18316"/>
    <cellStyle name="注释 9 14" xfId="18317"/>
    <cellStyle name="注释 9 15" xfId="18318"/>
    <cellStyle name="注释 9 16" xfId="18319"/>
    <cellStyle name="注释 9 2 2" xfId="18320"/>
    <cellStyle name="注释 9 2 2 2" xfId="18321"/>
    <cellStyle name="注释 9 2 5" xfId="18322"/>
    <cellStyle name="注释 9 3 2" xfId="18323"/>
    <cellStyle name="注释 9 3 2 2" xfId="18324"/>
    <cellStyle name="注释 9 3 4" xfId="18325"/>
    <cellStyle name="注释 9 3 5" xfId="18326"/>
    <cellStyle name="注释 9 4 2" xfId="18327"/>
    <cellStyle name="注释 9 4 2 2" xfId="18328"/>
    <cellStyle name="注释 9 4 3" xfId="18329"/>
    <cellStyle name="注释 9 4 4" xfId="18330"/>
    <cellStyle name="注释 9 4 5" xfId="18331"/>
    <cellStyle name="注释 9 5" xfId="18332"/>
    <cellStyle name="注释 9 5 2" xfId="18333"/>
    <cellStyle name="注释 9 5 3" xfId="18334"/>
    <cellStyle name="注释 9 5 4" xfId="18335"/>
    <cellStyle name="注释 9 5 5" xfId="18336"/>
    <cellStyle name="注释 9 6 2" xfId="18337"/>
    <cellStyle name="注释 9 6 3" xfId="18338"/>
    <cellStyle name="注释 9 6 4" xfId="18339"/>
    <cellStyle name="注释 9 6 5" xfId="18340"/>
    <cellStyle name="注释 9 7 2" xfId="18341"/>
    <cellStyle name="콤마 [0]_BOILER-CO1" xfId="18342"/>
    <cellStyle name="통화 [0]_BOILER-CO1" xfId="18343"/>
  </cellStyles>
  <dxfs count="1">
    <dxf>
      <font>
        <b val="1"/>
        <i val="0"/>
        <color indexed="10"/>
      </font>
    </dxf>
  </dxfs>
  <tableStyles count="0" defaultTableStyle="TableStyleMedium9" defaultPivotStyle="PivotStyleLight16"/>
  <colors>
    <mruColors>
      <color rgb="00A7F3D4"/>
      <color rgb="00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1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.xml"/><Relationship Id="rId106" Type="http://schemas.openxmlformats.org/officeDocument/2006/relationships/externalLink" Target="externalLinks/externalLink8.xml"/><Relationship Id="rId105" Type="http://schemas.openxmlformats.org/officeDocument/2006/relationships/externalLink" Target="externalLinks/externalLink7.xml"/><Relationship Id="rId104" Type="http://schemas.openxmlformats.org/officeDocument/2006/relationships/externalLink" Target="externalLinks/externalLink6.xml"/><Relationship Id="rId103" Type="http://schemas.openxmlformats.org/officeDocument/2006/relationships/externalLink" Target="externalLinks/externalLink5.xml"/><Relationship Id="rId102" Type="http://schemas.openxmlformats.org/officeDocument/2006/relationships/externalLink" Target="externalLinks/externalLink4.xml"/><Relationship Id="rId101" Type="http://schemas.openxmlformats.org/officeDocument/2006/relationships/externalLink" Target="externalLinks/externalLink3.xml"/><Relationship Id="rId100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>
      <xdr:nvSpPr>
        <xdr:cNvPr id="2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>
      <xdr:nvSpPr>
        <xdr:cNvPr id="3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>
      <xdr:nvSpPr>
        <xdr:cNvPr id="4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304800</xdr:colOff>
      <xdr:row>32</xdr:row>
      <xdr:rowOff>21590</xdr:rowOff>
    </xdr:to>
    <xdr:sp>
      <xdr:nvSpPr>
        <xdr:cNvPr id="5" name="AutoShape 1" descr="从帮助中选取示例。"/>
        <xdr:cNvSpPr>
          <a:spLocks noChangeAspect="1" noChangeArrowheads="1"/>
        </xdr:cNvSpPr>
      </xdr:nvSpPr>
      <xdr:spPr>
        <a:xfrm>
          <a:off x="1223962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>
      <xdr:nvSpPr>
        <xdr:cNvPr id="6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>
      <xdr:nvSpPr>
        <xdr:cNvPr id="7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>
      <xdr:nvSpPr>
        <xdr:cNvPr id="8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304800</xdr:colOff>
      <xdr:row>32</xdr:row>
      <xdr:rowOff>21590</xdr:rowOff>
    </xdr:to>
    <xdr:sp>
      <xdr:nvSpPr>
        <xdr:cNvPr id="9" name="AutoShape 1" descr="从帮助中选取示例。"/>
        <xdr:cNvSpPr>
          <a:spLocks noChangeAspect="1" noChangeArrowheads="1"/>
        </xdr:cNvSpPr>
      </xdr:nvSpPr>
      <xdr:spPr>
        <a:xfrm>
          <a:off x="13211175" y="5743575"/>
          <a:ext cx="304800" cy="202565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304800</xdr:colOff>
      <xdr:row>32</xdr:row>
      <xdr:rowOff>164465</xdr:rowOff>
    </xdr:to>
    <xdr:sp>
      <xdr:nvSpPr>
        <xdr:cNvPr id="10" name="AutoShape 1" descr="从帮助中选取示例。"/>
        <xdr:cNvSpPr>
          <a:spLocks noChangeAspect="1" noChangeArrowheads="1"/>
        </xdr:cNvSpPr>
      </xdr:nvSpPr>
      <xdr:spPr>
        <a:xfrm>
          <a:off x="3248025" y="5743575"/>
          <a:ext cx="304800" cy="34544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304800</xdr:colOff>
      <xdr:row>32</xdr:row>
      <xdr:rowOff>164465</xdr:rowOff>
    </xdr:to>
    <xdr:sp>
      <xdr:nvSpPr>
        <xdr:cNvPr id="11" name="AutoShape 1" descr="从帮助中选取示例。"/>
        <xdr:cNvSpPr>
          <a:spLocks noChangeAspect="1" noChangeArrowheads="1"/>
        </xdr:cNvSpPr>
      </xdr:nvSpPr>
      <xdr:spPr>
        <a:xfrm>
          <a:off x="3248025" y="5743575"/>
          <a:ext cx="304800" cy="34544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2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3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4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5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6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304800</xdr:colOff>
      <xdr:row>32</xdr:row>
      <xdr:rowOff>161925</xdr:rowOff>
    </xdr:to>
    <xdr:sp>
      <xdr:nvSpPr>
        <xdr:cNvPr id="7" name="AutoShape 1" descr="从帮助中选取示例。"/>
        <xdr:cNvSpPr>
          <a:spLocks noChangeAspect="1" noChangeArrowheads="1"/>
        </xdr:cNvSpPr>
      </xdr:nvSpPr>
      <xdr:spPr>
        <a:xfrm>
          <a:off x="5133975" y="5743575"/>
          <a:ext cx="304800" cy="342900"/>
        </a:xfrm>
        <a:prstGeom prst="rect">
          <a:avLst/>
        </a:prstGeom>
        <a:noFill/>
        <a:ln w="9525">
          <a:noFill/>
          <a:miter lim="800000"/>
        </a:ln>
      </xdr:spPr>
      <xdr:txBody>
        <a:bodyPr/>
        <a:lstStyle/>
        <a:p>
          <a:endParaRPr lang="zh-CN" alt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635;&#36134;\2013.6.25\2013&#24180;&#25253;&#34920;\201306\&#21508;&#23376;&#20844;&#21496;&#25253;&#34920;\&#36130;&#21153;&#25253;&#34920;&#20307;&#31995;\&#21508;&#31185;&#23460;&#21508;&#26376;&#25253;&#34920;\200808&#20449;&#31649;&#39640;&#26032;&#25253;&#3492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130;&#21153;&#25253;&#34920;&#20307;&#31995;\&#21508;&#31185;&#23460;&#21508;&#26376;&#25253;&#34920;\200808&#20449;&#31649;&#39640;&#26032;&#25253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635;&#36134;\2013.6.25\2013&#24180;&#25253;&#34920;\201306\&#21508;&#23376;&#20844;&#21496;&#25253;&#34920;\Documents%20and%20Settings\hugensheng\Local%20Settings\Temporary%20Internet%20Files\OLK16\WINDOWS\TEMP\&#36135;&#21697;&#28165;&#2133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635;&#36134;\2013.6.25\2013&#24180;&#25253;&#34920;\201306\&#21508;&#23376;&#20844;&#21496;&#25253;&#34920;\Documents%20and%20Settings\hugensheng\Local%20Settings\Temporary%20Internet%20Files\OLK16\WINDOWS\TEMP\WINDOWS\TEMP\&#36135;&#21697;&#28165;&#2133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hugensheng\Local%20Settings\Temporary%20Internet%20Files\OLK16\My%20Documents\02&#24180;&#34013;&#26376;&#20142;&#25253;&#34920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345\&#36130;&#21153;&#37096;\Documents%20and%20Settings\sny\Local%20Settings\Temporary%20Internet%20Files\OLK1\&#29983;&#20135;&#35745;&#21010;(2005&#24180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E45\&#25104;&#21697;&#37096;\&#24040;&#40857;\&#36130;&#21153;&#37096;\&#36816;&#36755;&#20215;&#26684;&#26723;&#266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635;&#36134;\2013.6.25\2013&#24180;&#25253;&#34920;\201306\&#21508;&#23376;&#20844;&#21496;&#25253;&#34920;\Documents%20and%20Settings\hugensheng\Local%20Settings\Temporary%20Internet%20Files\OLK16\Documents%20and%20Settings\gubing\My%20Documents\&#21033;&#28070;\&#26723;&#26696;&#24211;\&#36816;&#36755;&#20215;&#26684;&#26723;&#26696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635;&#36134;\2013.6.25\2013&#24180;&#25253;&#34920;\201306\&#21508;&#23376;&#20844;&#21496;&#25253;&#34920;\Documents%20and%20Settings\hugensheng\Local%20Settings\Temporary%20Internet%20Files\OLK16\Documents%20and%20Settings\gubing\Local%20Settings\Temporary%20Internet%20Files\OLK1\&#26723;&#26696;&#24211;\&#36816;&#36755;&#20215;&#26684;&#26723;&#26696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月应收"/>
      <sheetName val="月账龄"/>
      <sheetName val="月DSO"/>
      <sheetName val="年对比"/>
      <sheetName val="年前十大"/>
      <sheetName val="年五大"/>
      <sheetName val="月报分析表"/>
      <sheetName val="资金月报分析表47"/>
      <sheetName val="辽宁10003"/>
      <sheetName val="清单12.31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月应收"/>
      <sheetName val="月账龄"/>
      <sheetName val="月DSO"/>
      <sheetName val="年对比"/>
      <sheetName val="年前十大"/>
      <sheetName val="年五大"/>
      <sheetName val="月报分析表"/>
      <sheetName val="资金月报分析表47"/>
      <sheetName val="资金月报分析表46"/>
      <sheetName val="数据"/>
      <sheetName val="冰箱汇总"/>
      <sheetName val="反应计划(吨)"/>
      <sheetName val="运费+包装费"/>
      <sheetName val="辽宁10003"/>
      <sheetName val="11.01.10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成品"/>
      <sheetName val="包装材料"/>
      <sheetName val="化工原料"/>
      <sheetName val="月报分析表"/>
      <sheetName val="资金月报分析表46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成品"/>
      <sheetName val="包装材料"/>
      <sheetName val="化工原料"/>
      <sheetName val="月报分析表"/>
      <sheetName val="资金月报分析表46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资（蓝6）"/>
      <sheetName val="损（蓝6）"/>
      <sheetName val="资（蓝5）"/>
      <sheetName val="损（蓝5）"/>
      <sheetName val="资(蓝4)"/>
      <sheetName val="损(蓝4)"/>
      <sheetName val="资(蓝3)"/>
      <sheetName val="损(蓝3)"/>
      <sheetName val="资(蓝2)"/>
      <sheetName val="损(蓝2)"/>
      <sheetName val="资(蓝1)"/>
      <sheetName val="损(蓝1)"/>
      <sheetName val="销费（6）"/>
      <sheetName val="管费（6）"/>
      <sheetName val="待摊、预提6"/>
      <sheetName val="其付6"/>
      <sheetName val="其收6"/>
      <sheetName val="01税（蓝）"/>
      <sheetName val="02税（蓝）"/>
      <sheetName val="资9"/>
      <sheetName val="损9"/>
      <sheetName val="资（蓝8）"/>
      <sheetName val="损（蓝8）"/>
      <sheetName val="资（蓝7）"/>
      <sheetName val="损（蓝7）"/>
      <sheetName val="管（总A）"/>
      <sheetName val="销（总A）"/>
      <sheetName val="管费9"/>
      <sheetName val="销费9"/>
      <sheetName val="待摊、预提9"/>
      <sheetName val="其收9"/>
      <sheetName val="其付9"/>
      <sheetName val="应付9"/>
      <sheetName val="资金月报分析表46"/>
      <sheetName val="资金月报分析表47"/>
      <sheetName val="月报分析表"/>
      <sheetName val="账期整理"/>
      <sheetName val="北京 -L"/>
      <sheetName val="年前十大"/>
      <sheetName val="销售利润明细表"/>
      <sheetName val="数据"/>
      <sheetName val="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反应计划(吨)"/>
      <sheetName val="发货计划"/>
      <sheetName val="期末库存"/>
      <sheetName val="安全库存"/>
      <sheetName val="生产计划(万支)"/>
      <sheetName val="生产计划(箱)"/>
      <sheetName val="灌装计划(吨)"/>
      <sheetName val="资金月报分析表46"/>
      <sheetName val="资金月报分析表47"/>
      <sheetName val="月报分析表"/>
      <sheetName val="损（蓝5）"/>
      <sheetName val="XL4Poppy"/>
      <sheetName val="差异率"/>
      <sheetName val="字典代码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北京 -L"/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  <sheetName val="月报分析表"/>
      <sheetName val="辽宁10003"/>
      <sheetName val="XL4Poppy"/>
      <sheetName val="化工原料"/>
      <sheetName val="损（蓝5）"/>
      <sheetName val="资金月报分析表46"/>
      <sheetName val="预提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北京 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汇总(总）"/>
      <sheetName val=" 参考"/>
      <sheetName val="大连-L"/>
      <sheetName val="沈阳-L"/>
      <sheetName val="哈尔滨-L"/>
      <sheetName val="长春-L"/>
      <sheetName val="梅河口-L"/>
      <sheetName val="北京 -L"/>
      <sheetName val="天津-L"/>
      <sheetName val="石家庄-L"/>
      <sheetName val="太原-L"/>
      <sheetName val="南京-L"/>
      <sheetName val="常州-L"/>
      <sheetName val="苏州-L"/>
      <sheetName val="无锡-L"/>
      <sheetName val="杭州-L"/>
      <sheetName val="台州-L"/>
      <sheetName val="义乌-L"/>
      <sheetName val="青岛-L"/>
      <sheetName val="临沂-L"/>
      <sheetName val="济南-L "/>
      <sheetName val="威海-L "/>
      <sheetName val="烟台-L"/>
      <sheetName val="阜阳-L"/>
      <sheetName val="合肥-L"/>
      <sheetName val="安庆-L "/>
      <sheetName val="蚌埠-L"/>
      <sheetName val="芜湖-L "/>
      <sheetName val="洛阳-L"/>
      <sheetName val="郑州-L"/>
      <sheetName val="上海-L"/>
      <sheetName val="西安-L"/>
      <sheetName val="武汉-L"/>
      <sheetName val="成都-L"/>
      <sheetName val="重庆-L"/>
      <sheetName val="昆明-L"/>
      <sheetName val="兰州-L"/>
      <sheetName val="新疆-L"/>
      <sheetName val="贵阳"/>
      <sheetName val="广州(市内）"/>
      <sheetName val="汕头万客隆-L"/>
      <sheetName val="番禺"/>
      <sheetName val="佛山1"/>
      <sheetName val="珠海1"/>
      <sheetName val="珠海利清-L"/>
      <sheetName val="深圳-L"/>
      <sheetName val="东莞"/>
      <sheetName val="普宁-L"/>
      <sheetName val="湛江-L"/>
      <sheetName val="福州-L"/>
      <sheetName val="龙岩-L"/>
      <sheetName val="泉州-L"/>
      <sheetName val="北海-L "/>
      <sheetName val="桂林-L"/>
      <sheetName val="柳州-L"/>
      <sheetName val="南宁-L"/>
      <sheetName val="玉林-L "/>
      <sheetName val="钦州-L"/>
      <sheetName val="常德-L"/>
      <sheetName val="长沙-L"/>
      <sheetName val="南昌-L"/>
      <sheetName val="Sheet1"/>
      <sheetName val="资金月报分析表4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comments" Target="../comments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comments" Target="../comments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comments" Target="../comments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comments" Target="../comments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comments" Target="../comments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comments" Target="../comments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comments" Target="../comments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comments" Target="../comments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comments" Target="../comments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comments" Target="../comments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comments" Target="../comments36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.xml"/><Relationship Id="rId1" Type="http://schemas.openxmlformats.org/officeDocument/2006/relationships/comments" Target="../comments37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2.xml"/><Relationship Id="rId1" Type="http://schemas.openxmlformats.org/officeDocument/2006/relationships/comments" Target="../comments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comments" Target="../comments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comments" Target="../comments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comments" Target="../comments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comments" Target="../comments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comments" Target="../comments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comments" Target="../comments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comments" Target="../comments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comments" Target="../comments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comments" Target="../comments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comments" Target="../comments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comments" Target="../comments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comments" Target="../comments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comments" Target="../comments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comments" Target="../comments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comments" Target="../comments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comments" Target="../comments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comments" Target="../comments5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comments" Target="../comments5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comments" Target="../comments5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comments" Target="../comments5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comments" Target="../comments5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comments" Target="../comments6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comments" Target="../comments6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comments" Target="../comments6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comments" Target="../comments6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comments" Target="../comments6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comments" Target="../comments6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comments" Target="../comments6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comments" Target="../comments6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comments" Target="../comments6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comments" Target="../comments6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comments" Target="../comments7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comments" Target="../comments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IV16"/>
  <sheetViews>
    <sheetView workbookViewId="0">
      <selection activeCell="F23" sqref="F23"/>
    </sheetView>
  </sheetViews>
  <sheetFormatPr defaultColWidth="9" defaultRowHeight="13.5"/>
  <cols>
    <col min="7" max="7" width="14.125" customWidth="1"/>
    <col min="8" max="8" width="19.125" customWidth="1"/>
  </cols>
  <sheetData>
    <row r="5" ht="31.5" spans="1:256">
      <c r="A5" s="381" t="s">
        <v>0</v>
      </c>
      <c r="B5" s="381"/>
      <c r="C5" s="381"/>
      <c r="D5" s="381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/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  <c r="BK5" s="388"/>
      <c r="BL5" s="388"/>
      <c r="BM5" s="388"/>
      <c r="BN5" s="388"/>
      <c r="BO5" s="388"/>
      <c r="BP5" s="388"/>
      <c r="BQ5" s="388"/>
      <c r="BR5" s="388"/>
      <c r="BS5" s="388"/>
      <c r="BT5" s="388"/>
      <c r="BU5" s="388"/>
      <c r="BV5" s="388"/>
      <c r="BW5" s="388"/>
      <c r="BX5" s="388"/>
      <c r="BY5" s="388"/>
      <c r="BZ5" s="388"/>
      <c r="CA5" s="388"/>
      <c r="CB5" s="388"/>
      <c r="CC5" s="388"/>
      <c r="CD5" s="388"/>
      <c r="CE5" s="388"/>
      <c r="CF5" s="388"/>
      <c r="CG5" s="388"/>
      <c r="CH5" s="388"/>
      <c r="CI5" s="388"/>
      <c r="CJ5" s="388"/>
      <c r="CK5" s="388"/>
      <c r="CL5" s="388"/>
      <c r="CM5" s="388"/>
      <c r="CN5" s="388"/>
      <c r="CO5" s="388"/>
      <c r="CP5" s="388"/>
      <c r="CQ5" s="388"/>
      <c r="CR5" s="388"/>
      <c r="CS5" s="388"/>
      <c r="CT5" s="388"/>
      <c r="CU5" s="388"/>
      <c r="CV5" s="388"/>
      <c r="CW5" s="388"/>
      <c r="CX5" s="388"/>
      <c r="CY5" s="388"/>
      <c r="CZ5" s="388"/>
      <c r="DA5" s="388"/>
      <c r="DB5" s="388"/>
      <c r="DC5" s="388"/>
      <c r="DD5" s="388"/>
      <c r="DE5" s="388"/>
      <c r="DF5" s="388"/>
      <c r="DG5" s="388"/>
      <c r="DH5" s="388"/>
      <c r="DI5" s="388"/>
      <c r="DJ5" s="388"/>
      <c r="DK5" s="388"/>
      <c r="DL5" s="388"/>
      <c r="DM5" s="388"/>
      <c r="DN5" s="388"/>
      <c r="DO5" s="388"/>
      <c r="DP5" s="388"/>
      <c r="DQ5" s="388"/>
      <c r="DR5" s="388"/>
      <c r="DS5" s="388"/>
      <c r="DT5" s="388"/>
      <c r="DU5" s="388"/>
      <c r="DV5" s="388"/>
      <c r="DW5" s="388"/>
      <c r="DX5" s="388"/>
      <c r="DY5" s="388"/>
      <c r="DZ5" s="388"/>
      <c r="EA5" s="388"/>
      <c r="EB5" s="388"/>
      <c r="EC5" s="388"/>
      <c r="ED5" s="388"/>
      <c r="EE5" s="388"/>
      <c r="EF5" s="388"/>
      <c r="EG5" s="388"/>
      <c r="EH5" s="388"/>
      <c r="EI5" s="388"/>
      <c r="EJ5" s="388"/>
      <c r="EK5" s="388"/>
      <c r="EL5" s="388"/>
      <c r="EM5" s="388"/>
      <c r="EN5" s="388"/>
      <c r="EO5" s="388"/>
      <c r="EP5" s="388"/>
      <c r="EQ5" s="388"/>
      <c r="ER5" s="388"/>
      <c r="ES5" s="388"/>
      <c r="ET5" s="388"/>
      <c r="EU5" s="388"/>
      <c r="EV5" s="388"/>
      <c r="EW5" s="388"/>
      <c r="EX5" s="388"/>
      <c r="EY5" s="388"/>
      <c r="EZ5" s="388"/>
      <c r="FA5" s="388"/>
      <c r="FB5" s="388"/>
      <c r="FC5" s="388"/>
      <c r="FD5" s="388"/>
      <c r="FE5" s="388"/>
      <c r="FF5" s="388"/>
      <c r="FG5" s="388"/>
      <c r="FH5" s="388"/>
      <c r="FI5" s="388"/>
      <c r="FJ5" s="388"/>
      <c r="FK5" s="388"/>
      <c r="FL5" s="388"/>
      <c r="FM5" s="388"/>
      <c r="FN5" s="388"/>
      <c r="FO5" s="388"/>
      <c r="FP5" s="388"/>
      <c r="FQ5" s="388"/>
      <c r="FR5" s="388"/>
      <c r="FS5" s="388"/>
      <c r="FT5" s="388"/>
      <c r="FU5" s="388"/>
      <c r="FV5" s="388"/>
      <c r="FW5" s="388"/>
      <c r="FX5" s="388"/>
      <c r="FY5" s="388"/>
      <c r="FZ5" s="388"/>
      <c r="GA5" s="388"/>
      <c r="GB5" s="388"/>
      <c r="GC5" s="388"/>
      <c r="GD5" s="388"/>
      <c r="GE5" s="388"/>
      <c r="GF5" s="388"/>
      <c r="GG5" s="388"/>
      <c r="GH5" s="388"/>
      <c r="GI5" s="388"/>
      <c r="GJ5" s="388"/>
      <c r="GK5" s="388"/>
      <c r="GL5" s="388"/>
      <c r="GM5" s="388"/>
      <c r="GN5" s="388"/>
      <c r="GO5" s="388"/>
      <c r="GP5" s="388"/>
      <c r="GQ5" s="388"/>
      <c r="GR5" s="388"/>
      <c r="GS5" s="388"/>
      <c r="GT5" s="388"/>
      <c r="GU5" s="388"/>
      <c r="GV5" s="388"/>
      <c r="GW5" s="388"/>
      <c r="GX5" s="388"/>
      <c r="GY5" s="388"/>
      <c r="GZ5" s="388"/>
      <c r="HA5" s="388"/>
      <c r="HB5" s="388"/>
      <c r="HC5" s="388"/>
      <c r="HD5" s="388"/>
      <c r="HE5" s="388"/>
      <c r="HF5" s="388"/>
      <c r="HG5" s="388"/>
      <c r="HH5" s="388"/>
      <c r="HI5" s="388"/>
      <c r="HJ5" s="388"/>
      <c r="HK5" s="388"/>
      <c r="HL5" s="388"/>
      <c r="HM5" s="388"/>
      <c r="HN5" s="388"/>
      <c r="HO5" s="388"/>
      <c r="HP5" s="388"/>
      <c r="HQ5" s="388"/>
      <c r="HR5" s="388"/>
      <c r="HS5" s="388"/>
      <c r="HT5" s="388"/>
      <c r="HU5" s="388"/>
      <c r="HV5" s="388"/>
      <c r="HW5" s="388"/>
      <c r="HX5" s="388"/>
      <c r="HY5" s="388"/>
      <c r="HZ5" s="388"/>
      <c r="IA5" s="388"/>
      <c r="IB5" s="388"/>
      <c r="IC5" s="388"/>
      <c r="ID5" s="388"/>
      <c r="IE5" s="388"/>
      <c r="IF5" s="388"/>
      <c r="IG5" s="388"/>
      <c r="IH5" s="388"/>
      <c r="II5" s="388"/>
      <c r="IJ5" s="388"/>
      <c r="IK5" s="388"/>
      <c r="IL5" s="388"/>
      <c r="IM5" s="388"/>
      <c r="IN5" s="388"/>
      <c r="IO5" s="388"/>
      <c r="IP5" s="388"/>
      <c r="IQ5" s="388"/>
      <c r="IR5" s="388"/>
      <c r="IS5" s="388"/>
      <c r="IT5" s="388"/>
      <c r="IU5" s="388"/>
      <c r="IV5" s="388"/>
    </row>
    <row r="6" ht="25.5" spans="1:256">
      <c r="A6" s="382" t="str">
        <f>YEAR(H15)&amp;"年"&amp;MONTH(H15)&amp;"月"&amp;"合并费用表"</f>
        <v>2020年4月合并费用表</v>
      </c>
      <c r="B6" s="382"/>
      <c r="C6" s="382"/>
      <c r="D6" s="382"/>
      <c r="E6" s="382"/>
      <c r="F6" s="382"/>
      <c r="G6" s="382"/>
      <c r="H6" s="382"/>
      <c r="I6" s="382"/>
      <c r="J6" s="382"/>
      <c r="K6" s="382"/>
      <c r="L6" s="382"/>
      <c r="M6" s="382"/>
      <c r="N6" s="382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  <c r="BK6" s="388"/>
      <c r="BL6" s="388"/>
      <c r="BM6" s="388"/>
      <c r="BN6" s="388"/>
      <c r="BO6" s="388"/>
      <c r="BP6" s="388"/>
      <c r="BQ6" s="388"/>
      <c r="BR6" s="388"/>
      <c r="BS6" s="388"/>
      <c r="BT6" s="388"/>
      <c r="BU6" s="388"/>
      <c r="BV6" s="388"/>
      <c r="BW6" s="388"/>
      <c r="BX6" s="388"/>
      <c r="BY6" s="388"/>
      <c r="BZ6" s="388"/>
      <c r="CA6" s="388"/>
      <c r="CB6" s="388"/>
      <c r="CC6" s="388"/>
      <c r="CD6" s="388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388"/>
      <c r="CP6" s="388"/>
      <c r="CQ6" s="388"/>
      <c r="CR6" s="388"/>
      <c r="CS6" s="388"/>
      <c r="CT6" s="388"/>
      <c r="CU6" s="388"/>
      <c r="CV6" s="388"/>
      <c r="CW6" s="388"/>
      <c r="CX6" s="388"/>
      <c r="CY6" s="388"/>
      <c r="CZ6" s="388"/>
      <c r="DA6" s="388"/>
      <c r="DB6" s="388"/>
      <c r="DC6" s="388"/>
      <c r="DD6" s="388"/>
      <c r="DE6" s="388"/>
      <c r="DF6" s="388"/>
      <c r="DG6" s="388"/>
      <c r="DH6" s="388"/>
      <c r="DI6" s="388"/>
      <c r="DJ6" s="388"/>
      <c r="DK6" s="388"/>
      <c r="DL6" s="388"/>
      <c r="DM6" s="388"/>
      <c r="DN6" s="388"/>
      <c r="DO6" s="388"/>
      <c r="DP6" s="388"/>
      <c r="DQ6" s="388"/>
      <c r="DR6" s="388"/>
      <c r="DS6" s="388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388"/>
      <c r="EE6" s="388"/>
      <c r="EF6" s="388"/>
      <c r="EG6" s="388"/>
      <c r="EH6" s="388"/>
      <c r="EI6" s="388"/>
      <c r="EJ6" s="388"/>
      <c r="EK6" s="388"/>
      <c r="EL6" s="388"/>
      <c r="EM6" s="388"/>
      <c r="EN6" s="388"/>
      <c r="EO6" s="388"/>
      <c r="EP6" s="388"/>
      <c r="EQ6" s="388"/>
      <c r="ER6" s="388"/>
      <c r="ES6" s="388"/>
      <c r="ET6" s="388"/>
      <c r="EU6" s="388"/>
      <c r="EV6" s="388"/>
      <c r="EW6" s="388"/>
      <c r="EX6" s="388"/>
      <c r="EY6" s="388"/>
      <c r="EZ6" s="388"/>
      <c r="FA6" s="388"/>
      <c r="FB6" s="388"/>
      <c r="FC6" s="388"/>
      <c r="FD6" s="388"/>
      <c r="FE6" s="388"/>
      <c r="FF6" s="388"/>
      <c r="FG6" s="388"/>
      <c r="FH6" s="388"/>
      <c r="FI6" s="388"/>
      <c r="FJ6" s="388"/>
      <c r="FK6" s="388"/>
      <c r="FL6" s="388"/>
      <c r="FM6" s="388"/>
      <c r="FN6" s="388"/>
      <c r="FO6" s="388"/>
      <c r="FP6" s="388"/>
      <c r="FQ6" s="388"/>
      <c r="FR6" s="388"/>
      <c r="FS6" s="388"/>
      <c r="FT6" s="388"/>
      <c r="FU6" s="388"/>
      <c r="FV6" s="388"/>
      <c r="FW6" s="388"/>
      <c r="FX6" s="388"/>
      <c r="FY6" s="388"/>
      <c r="FZ6" s="388"/>
      <c r="GA6" s="388"/>
      <c r="GB6" s="388"/>
      <c r="GC6" s="388"/>
      <c r="GD6" s="388"/>
      <c r="GE6" s="388"/>
      <c r="GF6" s="388"/>
      <c r="GG6" s="388"/>
      <c r="GH6" s="388"/>
      <c r="GI6" s="388"/>
      <c r="GJ6" s="388"/>
      <c r="GK6" s="388"/>
      <c r="GL6" s="388"/>
      <c r="GM6" s="388"/>
      <c r="GN6" s="388"/>
      <c r="GO6" s="388"/>
      <c r="GP6" s="388"/>
      <c r="GQ6" s="388"/>
      <c r="GR6" s="388"/>
      <c r="GS6" s="388"/>
      <c r="GT6" s="388"/>
      <c r="GU6" s="388"/>
      <c r="GV6" s="388"/>
      <c r="GW6" s="388"/>
      <c r="GX6" s="388"/>
      <c r="GY6" s="388"/>
      <c r="GZ6" s="388"/>
      <c r="HA6" s="388"/>
      <c r="HB6" s="388"/>
      <c r="HC6" s="388"/>
      <c r="HD6" s="388"/>
      <c r="HE6" s="388"/>
      <c r="HF6" s="388"/>
      <c r="HG6" s="388"/>
      <c r="HH6" s="388"/>
      <c r="HI6" s="388"/>
      <c r="HJ6" s="388"/>
      <c r="HK6" s="388"/>
      <c r="HL6" s="388"/>
      <c r="HM6" s="388"/>
      <c r="HN6" s="388"/>
      <c r="HO6" s="388"/>
      <c r="HP6" s="388"/>
      <c r="HQ6" s="388"/>
      <c r="HR6" s="388"/>
      <c r="HS6" s="388"/>
      <c r="HT6" s="388"/>
      <c r="HU6" s="388"/>
      <c r="HV6" s="388"/>
      <c r="HW6" s="388"/>
      <c r="HX6" s="388"/>
      <c r="HY6" s="388"/>
      <c r="HZ6" s="388"/>
      <c r="IA6" s="388"/>
      <c r="IB6" s="388"/>
      <c r="IC6" s="388"/>
      <c r="ID6" s="388"/>
      <c r="IE6" s="388"/>
      <c r="IF6" s="388"/>
      <c r="IG6" s="388"/>
      <c r="IH6" s="388"/>
      <c r="II6" s="388"/>
      <c r="IJ6" s="388"/>
      <c r="IK6" s="388"/>
      <c r="IL6" s="388"/>
      <c r="IM6" s="388"/>
      <c r="IN6" s="388"/>
      <c r="IO6" s="388"/>
      <c r="IP6" s="388"/>
      <c r="IQ6" s="388"/>
      <c r="IR6" s="388"/>
      <c r="IS6" s="388"/>
      <c r="IT6" s="388"/>
      <c r="IU6" s="388"/>
      <c r="IV6" s="388"/>
    </row>
    <row r="7" spans="7:8">
      <c r="G7" s="383"/>
      <c r="H7" s="383"/>
    </row>
    <row r="8" spans="7:8">
      <c r="G8" s="383"/>
      <c r="H8" s="383"/>
    </row>
    <row r="9" spans="7:8">
      <c r="G9" s="383"/>
      <c r="H9" s="383"/>
    </row>
    <row r="10" spans="7:8">
      <c r="G10" s="383"/>
      <c r="H10" s="383"/>
    </row>
    <row r="11" ht="14.25" spans="7:8">
      <c r="G11" s="384" t="s">
        <v>1</v>
      </c>
      <c r="H11" s="385">
        <v>43960</v>
      </c>
    </row>
    <row r="12" ht="14.25" spans="7:8">
      <c r="G12" s="384" t="s">
        <v>2</v>
      </c>
      <c r="H12" s="383"/>
    </row>
    <row r="13" ht="14.25" spans="7:8">
      <c r="G13" s="384" t="s">
        <v>3</v>
      </c>
      <c r="H13" s="383"/>
    </row>
    <row r="14" ht="14.25" spans="7:8">
      <c r="G14" s="384" t="s">
        <v>4</v>
      </c>
      <c r="H14" s="383"/>
    </row>
    <row r="15" ht="14.25" spans="7:8">
      <c r="G15" s="384" t="s">
        <v>5</v>
      </c>
      <c r="H15" s="386">
        <v>43950</v>
      </c>
    </row>
    <row r="16" spans="8:8">
      <c r="H16" s="387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"/>
  <sheetViews>
    <sheetView workbookViewId="0">
      <pane ySplit="3" topLeftCell="A4" activePane="bottomLeft" state="frozen"/>
      <selection/>
      <selection pane="bottomLeft" activeCell="F14" sqref="F14"/>
    </sheetView>
  </sheetViews>
  <sheetFormatPr defaultColWidth="9" defaultRowHeight="14.25" outlineLevelCol="4"/>
  <cols>
    <col min="1" max="1" width="6.75" style="364" customWidth="1"/>
    <col min="2" max="2" width="28.375" style="365" customWidth="1"/>
    <col min="3" max="3" width="33.375" style="366" customWidth="1"/>
    <col min="4" max="16384" width="9" style="366"/>
  </cols>
  <sheetData>
    <row r="1" s="361" customFormat="1" hidden="1" spans="1:2">
      <c r="A1" s="364"/>
      <c r="B1" s="361" t="s">
        <v>6</v>
      </c>
    </row>
    <row r="2" ht="13.5" hidden="1" spans="2:2">
      <c r="B2" s="367" t="str">
        <f ca="1">IFERROR(HYPERLINK(目录&amp;"!A1",MID(目录,FIND("]",目录)+1,99)),"")</f>
        <v/>
      </c>
    </row>
    <row r="3" ht="24.75" customHeight="1" spans="1:5">
      <c r="A3" s="368" t="str">
        <f ca="1">IFERROR(HYPERLINK(目录&amp;"!A1",MID(目录,FIND("]",目录)+1,99)),"")</f>
        <v/>
      </c>
      <c r="B3" s="369" t="s">
        <v>7</v>
      </c>
      <c r="E3" s="366" t="s">
        <v>8</v>
      </c>
    </row>
    <row r="4" s="362" customFormat="1" ht="18.75" spans="1:2">
      <c r="A4" s="370">
        <v>1</v>
      </c>
      <c r="B4" s="371" t="str">
        <f ca="1">IFERROR(HYPERLINK(目录&amp;"!A1",MID(目录,FIND("]",目录)+1,99)),"")</f>
        <v/>
      </c>
    </row>
    <row r="5" spans="1:3">
      <c r="A5" s="372">
        <v>2</v>
      </c>
      <c r="B5" s="373" t="str">
        <f ca="1">IFERROR(HYPERLINK("#'"&amp;HYPERLINK(目录)&amp;"'!A1",MID(目录,FIND("]",目录)+1,99)),"")</f>
        <v/>
      </c>
      <c r="C5" s="374"/>
    </row>
    <row r="6" ht="13.5" spans="1:3">
      <c r="A6" s="375">
        <v>3</v>
      </c>
      <c r="B6" s="376" t="str">
        <f ca="1">IFERROR(HYPERLINK("#'"&amp;HYPERLINK(目录)&amp;"'!A1",MID(目录,FIND("]",目录)+1,99)),"")</f>
        <v/>
      </c>
      <c r="C6" s="374"/>
    </row>
    <row r="7" ht="13.5" spans="1:4">
      <c r="A7" s="375">
        <v>4</v>
      </c>
      <c r="B7" s="377" t="str">
        <f ca="1">IFERROR(HYPERLINK("#'"&amp;HYPERLINK(目录)&amp;"'!A1",MID(目录,FIND("]",目录)+1,99)),"")</f>
        <v/>
      </c>
      <c r="C7" s="374"/>
      <c r="D7" s="374"/>
    </row>
    <row r="8" ht="13.5" spans="1:4">
      <c r="A8" s="375">
        <v>5</v>
      </c>
      <c r="B8" s="377" t="str">
        <f ca="1">IFERROR(HYPERLINK("#'"&amp;HYPERLINK(目录)&amp;"'!A1",MID(目录,FIND("]",目录)+1,99)),"")</f>
        <v/>
      </c>
      <c r="D8" s="374"/>
    </row>
    <row r="9" ht="13.5" spans="1:2">
      <c r="A9" s="375">
        <v>6</v>
      </c>
      <c r="B9" s="377" t="str">
        <f ca="1">IFERROR(HYPERLINK("#'"&amp;HYPERLINK(目录)&amp;"'!A1",MID(目录,FIND("]",目录)+1,99)),"")</f>
        <v/>
      </c>
    </row>
    <row r="10" ht="13.5" spans="1:2">
      <c r="A10" s="375">
        <v>7</v>
      </c>
      <c r="B10" s="377" t="str">
        <f ca="1">IFERROR(HYPERLINK("#'"&amp;HYPERLINK(目录)&amp;"'!A1",MID(目录,FIND("]",目录)+1,99)),"")</f>
        <v/>
      </c>
    </row>
    <row r="11" ht="13.5" spans="1:2">
      <c r="A11" s="375">
        <v>8</v>
      </c>
      <c r="B11" s="377" t="str">
        <f ca="1">IFERROR(HYPERLINK("#'"&amp;HYPERLINK(目录)&amp;"'!A1",MID(目录,FIND("]",目录)+1,99)),"")</f>
        <v/>
      </c>
    </row>
    <row r="12" ht="13.5" spans="1:2">
      <c r="A12" s="375">
        <v>9</v>
      </c>
      <c r="B12" s="377" t="str">
        <f ca="1">IFERROR(HYPERLINK("#'"&amp;HYPERLINK(目录)&amp;"'!A1",MID(目录,FIND("]",目录)+1,99)),"")</f>
        <v/>
      </c>
    </row>
    <row r="13" ht="13.5" spans="1:2">
      <c r="A13" s="375">
        <v>10</v>
      </c>
      <c r="B13" s="377" t="str">
        <f ca="1">IFERROR(HYPERLINK("#'"&amp;HYPERLINK(目录)&amp;"'!A1",MID(目录,FIND("]",目录)+1,99)),"")</f>
        <v/>
      </c>
    </row>
    <row r="14" ht="13.5" spans="1:2">
      <c r="A14" s="375">
        <v>11</v>
      </c>
      <c r="B14" s="377" t="str">
        <f ca="1">IFERROR(HYPERLINK("#'"&amp;HYPERLINK(目录)&amp;"'!A1",MID(目录,FIND("]",目录)+1,99)),"")</f>
        <v/>
      </c>
    </row>
    <row r="15" ht="13.5" spans="1:2">
      <c r="A15" s="375">
        <v>12</v>
      </c>
      <c r="B15" s="377" t="str">
        <f ca="1">IFERROR(HYPERLINK("#'"&amp;HYPERLINK(目录)&amp;"'!A1",MID(目录,FIND("]",目录)+1,99)),"")</f>
        <v/>
      </c>
    </row>
    <row r="16" ht="13.5" spans="1:2">
      <c r="A16" s="375">
        <v>13</v>
      </c>
      <c r="B16" s="377" t="str">
        <f ca="1">IFERROR(HYPERLINK("#'"&amp;HYPERLINK(目录)&amp;"'!A1",MID(目录,FIND("]",目录)+1,99)),"")</f>
        <v/>
      </c>
    </row>
    <row r="17" ht="13.5" spans="1:2">
      <c r="A17" s="375">
        <v>14</v>
      </c>
      <c r="B17" s="377" t="str">
        <f ca="1">IFERROR(HYPERLINK("#'"&amp;HYPERLINK(目录)&amp;"'!A1",MID(目录,FIND("]",目录)+1,99)),"")</f>
        <v/>
      </c>
    </row>
    <row r="18" ht="13.5" spans="1:2">
      <c r="A18" s="375">
        <v>15</v>
      </c>
      <c r="B18" s="377" t="str">
        <f ca="1">IFERROR(HYPERLINK("#'"&amp;HYPERLINK(目录)&amp;"'!A1",MID(目录,FIND("]",目录)+1,99)),"")</f>
        <v/>
      </c>
    </row>
    <row r="19" ht="13.5" spans="1:2">
      <c r="A19" s="375">
        <v>16</v>
      </c>
      <c r="B19" s="377" t="str">
        <f ca="1">IFERROR(HYPERLINK("#'"&amp;HYPERLINK(目录)&amp;"'!A1",MID(目录,FIND("]",目录)+1,99)),"")</f>
        <v/>
      </c>
    </row>
    <row r="20" ht="13.5" spans="1:2">
      <c r="A20" s="375">
        <v>17</v>
      </c>
      <c r="B20" s="377" t="str">
        <f ca="1">IFERROR(HYPERLINK("#'"&amp;HYPERLINK(目录)&amp;"'!A1",MID(目录,FIND("]",目录)+1,99)),"")</f>
        <v/>
      </c>
    </row>
    <row r="21" ht="13.5" spans="1:2">
      <c r="A21" s="375">
        <v>18</v>
      </c>
      <c r="B21" s="377" t="str">
        <f ca="1">IFERROR(HYPERLINK("#'"&amp;HYPERLINK(目录)&amp;"'!A1",MID(目录,FIND("]",目录)+1,99)),"")</f>
        <v/>
      </c>
    </row>
    <row r="22" ht="13.5" spans="1:2">
      <c r="A22" s="375">
        <v>19</v>
      </c>
      <c r="B22" s="377" t="str">
        <f ca="1">IFERROR(HYPERLINK("#'"&amp;HYPERLINK(目录)&amp;"'!A1",MID(目录,FIND("]",目录)+1,99)),"")</f>
        <v/>
      </c>
    </row>
    <row r="23" ht="13.5" spans="1:2">
      <c r="A23" s="375">
        <v>20</v>
      </c>
      <c r="B23" s="377" t="str">
        <f ca="1">IFERROR(HYPERLINK("#'"&amp;HYPERLINK(目录)&amp;"'!A1",MID(目录,FIND("]",目录)+1,99)),"")</f>
        <v/>
      </c>
    </row>
    <row r="24" ht="13.5" spans="1:2">
      <c r="A24" s="375">
        <v>21</v>
      </c>
      <c r="B24" s="377" t="str">
        <f ca="1">IFERROR(HYPERLINK("#'"&amp;HYPERLINK(目录)&amp;"'!A1",MID(目录,FIND("]",目录)+1,99)),"")</f>
        <v/>
      </c>
    </row>
    <row r="25" ht="13.5" spans="1:2">
      <c r="A25" s="375">
        <v>22</v>
      </c>
      <c r="B25" s="377" t="str">
        <f ca="1">IFERROR(HYPERLINK("#'"&amp;HYPERLINK(目录)&amp;"'!A1",MID(目录,FIND("]",目录)+1,99)),"")</f>
        <v/>
      </c>
    </row>
    <row r="26" s="362" customFormat="1" ht="18.75" spans="1:3">
      <c r="A26" s="375">
        <v>23</v>
      </c>
      <c r="B26" s="377" t="str">
        <f ca="1">IFERROR(HYPERLINK("#'"&amp;HYPERLINK(目录)&amp;"'!A1",MID(目录,FIND("]",目录)+1,99)),"")</f>
        <v/>
      </c>
      <c r="C26" s="10"/>
    </row>
    <row r="27" spans="1:3">
      <c r="A27" s="375">
        <v>24</v>
      </c>
      <c r="B27" s="377" t="str">
        <f ca="1">IFERROR(HYPERLINK("#'"&amp;HYPERLINK(目录)&amp;"'!A1",MID(目录,FIND("]",目录)+1,99)),"")</f>
        <v/>
      </c>
      <c r="C27" s="10"/>
    </row>
    <row r="28" spans="1:3">
      <c r="A28" s="375">
        <v>25</v>
      </c>
      <c r="B28" s="377" t="str">
        <f ca="1">IFERROR(HYPERLINK("#'"&amp;HYPERLINK(目录)&amp;"'!A1",MID(目录,FIND("]",目录)+1,99)),"")</f>
        <v/>
      </c>
      <c r="C28" s="10"/>
    </row>
    <row r="29" spans="1:3">
      <c r="A29" s="375">
        <v>26</v>
      </c>
      <c r="B29" s="377" t="str">
        <f ca="1">IFERROR(HYPERLINK("#'"&amp;HYPERLINK(目录)&amp;"'!A1",MID(目录,FIND("]",目录)+1,99)),"")</f>
        <v/>
      </c>
      <c r="C29" s="10"/>
    </row>
    <row r="30" spans="1:3">
      <c r="A30" s="378">
        <v>27</v>
      </c>
      <c r="B30" s="379" t="str">
        <f ca="1">IFERROR(HYPERLINK("#'"&amp;HYPERLINK(目录)&amp;"'!A1",MID(目录,FIND("]",目录)+1,99)),"")</f>
        <v/>
      </c>
      <c r="C30" s="10"/>
    </row>
    <row r="31" spans="1:3">
      <c r="A31" s="378">
        <v>28</v>
      </c>
      <c r="B31" s="380" t="str">
        <f ca="1">IFERROR(HYPERLINK("#'"&amp;HYPERLINK(目录)&amp;"'!A1",MID(目录,FIND("]",目录)+1,99)),"")</f>
        <v/>
      </c>
      <c r="C31" s="10"/>
    </row>
    <row r="32" spans="1:3">
      <c r="A32" s="378">
        <v>29</v>
      </c>
      <c r="B32" s="380" t="str">
        <f ca="1">IFERROR(HYPERLINK("#'"&amp;HYPERLINK(目录)&amp;"'!A1",MID(目录,FIND("]",目录)+1,99)),"")</f>
        <v/>
      </c>
      <c r="C32" s="10"/>
    </row>
    <row r="33" spans="1:3">
      <c r="A33" s="378">
        <v>30</v>
      </c>
      <c r="B33" s="380" t="str">
        <f ca="1">IFERROR(HYPERLINK("#'"&amp;HYPERLINK(目录)&amp;"'!A1",MID(目录,FIND("]",目录)+1,99)),"")</f>
        <v/>
      </c>
      <c r="C33" s="10"/>
    </row>
    <row r="34" spans="1:3">
      <c r="A34" s="378">
        <v>31</v>
      </c>
      <c r="B34" s="380" t="str">
        <f ca="1">IFERROR(HYPERLINK("#'"&amp;HYPERLINK(目录)&amp;"'!A1",MID(目录,FIND("]",目录)+1,99)),"")</f>
        <v/>
      </c>
      <c r="C34" s="10"/>
    </row>
    <row r="35" spans="1:3">
      <c r="A35" s="378">
        <v>32</v>
      </c>
      <c r="B35" s="380" t="str">
        <f ca="1">IFERROR(HYPERLINK("#'"&amp;HYPERLINK(目录)&amp;"'!A1",MID(目录,FIND("]",目录)+1,99)),"")</f>
        <v/>
      </c>
      <c r="C35" s="10"/>
    </row>
    <row r="36" spans="1:3">
      <c r="A36" s="378">
        <v>33</v>
      </c>
      <c r="B36" s="380" t="str">
        <f ca="1">IFERROR(HYPERLINK("#'"&amp;HYPERLINK(目录)&amp;"'!A1",MID(目录,FIND("]",目录)+1,99)),"")</f>
        <v/>
      </c>
      <c r="C36" s="10"/>
    </row>
    <row r="37" spans="1:3">
      <c r="A37" s="378">
        <v>34</v>
      </c>
      <c r="B37" s="380" t="str">
        <f ca="1">IFERROR(HYPERLINK("#'"&amp;HYPERLINK(目录)&amp;"'!A1",MID(目录,FIND("]",目录)+1,99)),"")</f>
        <v/>
      </c>
      <c r="C37" s="10"/>
    </row>
    <row r="38" spans="1:3">
      <c r="A38" s="378">
        <v>35</v>
      </c>
      <c r="B38" s="380" t="str">
        <f ca="1">IFERROR(HYPERLINK("#'"&amp;HYPERLINK(目录)&amp;"'!A1",MID(目录,FIND("]",目录)+1,99)),"")</f>
        <v/>
      </c>
      <c r="C38" s="10"/>
    </row>
    <row r="39" spans="1:3">
      <c r="A39" s="378">
        <v>36</v>
      </c>
      <c r="B39" s="380" t="str">
        <f ca="1">IFERROR(HYPERLINK("#'"&amp;HYPERLINK(目录)&amp;"'!A1",MID(目录,FIND("]",目录)+1,99)),"")</f>
        <v/>
      </c>
      <c r="C39" s="10"/>
    </row>
    <row r="40" s="363" customFormat="1" ht="18.75" spans="1:3">
      <c r="A40" s="378">
        <v>37</v>
      </c>
      <c r="B40" s="380" t="str">
        <f ca="1">IFERROR(HYPERLINK("#'"&amp;HYPERLINK(目录)&amp;"'!A1",MID(目录,FIND("]",目录)+1,99)),"")</f>
        <v/>
      </c>
      <c r="C40" s="10"/>
    </row>
    <row r="41" spans="1:3">
      <c r="A41" s="378">
        <v>38</v>
      </c>
      <c r="B41" s="380" t="str">
        <f ca="1">IFERROR(HYPERLINK("#'"&amp;HYPERLINK(目录)&amp;"'!A1",MID(目录,FIND("]",目录)+1,99)),"")</f>
        <v/>
      </c>
      <c r="C41" s="10"/>
    </row>
    <row r="42" spans="1:3">
      <c r="A42" s="378">
        <v>39</v>
      </c>
      <c r="B42" s="380" t="str">
        <f ca="1">IFERROR(HYPERLINK("#'"&amp;HYPERLINK(目录)&amp;"'!A1",MID(目录,FIND("]",目录)+1,99)),"")</f>
        <v/>
      </c>
      <c r="C42" s="10"/>
    </row>
    <row r="43" spans="1:3">
      <c r="A43" s="378">
        <v>40</v>
      </c>
      <c r="B43" s="380" t="str">
        <f ca="1">IFERROR(HYPERLINK("#'"&amp;HYPERLINK(目录)&amp;"'!A1",MID(目录,FIND("]",目录)+1,99)),"")</f>
        <v/>
      </c>
      <c r="C43" s="10"/>
    </row>
    <row r="44" ht="13.5" spans="1:2">
      <c r="A44" s="375">
        <v>41</v>
      </c>
      <c r="B44" s="376" t="str">
        <f ca="1">IFERROR(HYPERLINK("#'"&amp;HYPERLINK(目录)&amp;"'!A1",MID(目录,FIND("]",目录)+1,99)),"")</f>
        <v/>
      </c>
    </row>
    <row r="45" ht="13.5" spans="1:2">
      <c r="A45" s="375">
        <v>42</v>
      </c>
      <c r="B45" s="377" t="str">
        <f ca="1">IFERROR(HYPERLINK("#'"&amp;HYPERLINK(目录)&amp;"'!A1",MID(目录,FIND("]",目录)+1,99)),"")</f>
        <v/>
      </c>
    </row>
    <row r="46" ht="13.5" spans="1:2">
      <c r="A46" s="375">
        <v>43</v>
      </c>
      <c r="B46" s="377" t="str">
        <f ca="1">IFERROR(HYPERLINK("#'"&amp;HYPERLINK(目录)&amp;"'!A1",MID(目录,FIND("]",目录)+1,99)),"")</f>
        <v/>
      </c>
    </row>
    <row r="47" ht="13.5" spans="1:2">
      <c r="A47" s="375">
        <v>44</v>
      </c>
      <c r="B47" s="377" t="str">
        <f ca="1">IFERROR(HYPERLINK("#'"&amp;HYPERLINK(目录)&amp;"'!A1",MID(目录,FIND("]",目录)+1,99)),"")</f>
        <v/>
      </c>
    </row>
    <row r="48" ht="13.5" spans="1:2">
      <c r="A48" s="375">
        <v>45</v>
      </c>
      <c r="B48" s="377" t="str">
        <f ca="1">IFERROR(HYPERLINK("#'"&amp;HYPERLINK(目录)&amp;"'!A1",MID(目录,FIND("]",目录)+1,99)),"")</f>
        <v/>
      </c>
    </row>
    <row r="49" ht="13.5" spans="1:2">
      <c r="A49" s="375">
        <v>46</v>
      </c>
      <c r="B49" s="377" t="str">
        <f ca="1">IFERROR(HYPERLINK("#'"&amp;HYPERLINK(目录)&amp;"'!A1",MID(目录,FIND("]",目录)+1,99)),"")</f>
        <v/>
      </c>
    </row>
    <row r="50" ht="13.5" spans="1:2">
      <c r="A50" s="375">
        <v>47</v>
      </c>
      <c r="B50" s="377" t="str">
        <f ca="1">IFERROR(HYPERLINK("#'"&amp;HYPERLINK(目录)&amp;"'!A1",MID(目录,FIND("]",目录)+1,99)),"")</f>
        <v/>
      </c>
    </row>
    <row r="51" ht="13.5" spans="1:2">
      <c r="A51" s="375">
        <v>48</v>
      </c>
      <c r="B51" s="377" t="str">
        <f ca="1">IFERROR(HYPERLINK("#'"&amp;HYPERLINK(目录)&amp;"'!A1",MID(目录,FIND("]",目录)+1,99)),"")</f>
        <v/>
      </c>
    </row>
    <row r="52" ht="13.5" spans="1:2">
      <c r="A52" s="375">
        <v>49</v>
      </c>
      <c r="B52" s="377" t="str">
        <f ca="1">IFERROR(HYPERLINK("#'"&amp;HYPERLINK(目录)&amp;"'!A1",MID(目录,FIND("]",目录)+1,99)),"")</f>
        <v/>
      </c>
    </row>
    <row r="53" ht="13.5" spans="1:2">
      <c r="A53" s="375">
        <v>50</v>
      </c>
      <c r="B53" s="377" t="str">
        <f ca="1">IFERROR(HYPERLINK("#'"&amp;HYPERLINK(目录)&amp;"'!A1",MID(目录,FIND("]",目录)+1,99)),"")</f>
        <v/>
      </c>
    </row>
    <row r="54" ht="13.5" spans="1:2">
      <c r="A54" s="375">
        <v>51</v>
      </c>
      <c r="B54" s="377" t="str">
        <f ca="1">IFERROR(HYPERLINK("#'"&amp;HYPERLINK(目录)&amp;"'!A1",MID(目录,FIND("]",目录)+1,99)),"")</f>
        <v/>
      </c>
    </row>
    <row r="55" ht="13.5" spans="1:2">
      <c r="A55" s="375">
        <v>52</v>
      </c>
      <c r="B55" s="377" t="str">
        <f ca="1">IFERROR(HYPERLINK("#'"&amp;HYPERLINK(目录)&amp;"'!A1",MID(目录,FIND("]",目录)+1,99)),"")</f>
        <v/>
      </c>
    </row>
    <row r="56" ht="13.5" spans="1:2">
      <c r="A56" s="375">
        <v>53</v>
      </c>
      <c r="B56" s="377" t="str">
        <f ca="1">IFERROR(HYPERLINK("#'"&amp;HYPERLINK(目录)&amp;"'!A1",MID(目录,FIND("]",目录)+1,99)),"")</f>
        <v/>
      </c>
    </row>
    <row r="57" ht="13.5" spans="1:2">
      <c r="A57" s="375">
        <v>54</v>
      </c>
      <c r="B57" s="377" t="str">
        <f ca="1">IFERROR(HYPERLINK("#'"&amp;HYPERLINK(目录)&amp;"'!A1",MID(目录,FIND("]",目录)+1,99)),"")</f>
        <v/>
      </c>
    </row>
    <row r="58" ht="13.5" spans="1:2">
      <c r="A58" s="375">
        <v>55</v>
      </c>
      <c r="B58" s="377" t="str">
        <f ca="1">IFERROR(HYPERLINK("#'"&amp;HYPERLINK(目录)&amp;"'!A1",MID(目录,FIND("]",目录)+1,99)),"")</f>
        <v/>
      </c>
    </row>
    <row r="59" ht="13.5" spans="1:2">
      <c r="A59" s="375">
        <v>56</v>
      </c>
      <c r="B59" s="377" t="str">
        <f ca="1">IFERROR(HYPERLINK("#'"&amp;HYPERLINK(目录)&amp;"'!A1",MID(目录,FIND("]",目录)+1,99)),"")</f>
        <v/>
      </c>
    </row>
    <row r="60" ht="13.5" spans="1:2">
      <c r="A60" s="375">
        <v>57</v>
      </c>
      <c r="B60" s="377" t="str">
        <f ca="1">IFERROR(HYPERLINK("#'"&amp;HYPERLINK(目录)&amp;"'!A1",MID(目录,FIND("]",目录)+1,99)),"")</f>
        <v/>
      </c>
    </row>
    <row r="61" ht="13.5" spans="1:2">
      <c r="A61" s="375">
        <v>58</v>
      </c>
      <c r="B61" s="377" t="str">
        <f ca="1">IFERROR(HYPERLINK("#'"&amp;HYPERLINK(目录)&amp;"'!A1",MID(目录,FIND("]",目录)+1,99)),"")</f>
        <v/>
      </c>
    </row>
    <row r="62" ht="13.5" spans="1:2">
      <c r="A62" s="378">
        <v>59</v>
      </c>
      <c r="B62" s="379" t="str">
        <f ca="1">IFERROR(HYPERLINK("#'"&amp;HYPERLINK(目录)&amp;"'!A1",MID(目录,FIND("]",目录)+1,99)),"")</f>
        <v/>
      </c>
    </row>
    <row r="63" ht="13.5" spans="1:2">
      <c r="A63" s="378">
        <v>60</v>
      </c>
      <c r="B63" s="380" t="str">
        <f ca="1">IFERROR(HYPERLINK("#'"&amp;HYPERLINK(目录)&amp;"'!A1",MID(目录,FIND("]",目录)+1,99)),"")</f>
        <v/>
      </c>
    </row>
    <row r="64" ht="13.5" spans="1:2">
      <c r="A64" s="378">
        <v>61</v>
      </c>
      <c r="B64" s="380" t="str">
        <f ca="1">IFERROR(HYPERLINK("#'"&amp;HYPERLINK(目录)&amp;"'!A1",MID(目录,FIND("]",目录)+1,99)),"")</f>
        <v/>
      </c>
    </row>
    <row r="65" ht="13.5" spans="1:2">
      <c r="A65" s="378">
        <v>62</v>
      </c>
      <c r="B65" s="380" t="str">
        <f ca="1">IFERROR(HYPERLINK("#'"&amp;HYPERLINK(目录)&amp;"'!A1",MID(目录,FIND("]",目录)+1,99)),"")</f>
        <v/>
      </c>
    </row>
    <row r="66" ht="13.5" spans="1:2">
      <c r="A66" s="378">
        <v>63</v>
      </c>
      <c r="B66" s="380" t="str">
        <f ca="1">IFERROR(HYPERLINK("#'"&amp;HYPERLINK(目录)&amp;"'!A1",MID(目录,FIND("]",目录)+1,99)),"")</f>
        <v/>
      </c>
    </row>
    <row r="67" ht="13.5" spans="1:2">
      <c r="A67" s="378">
        <v>64</v>
      </c>
      <c r="B67" s="380" t="str">
        <f ca="1">IFERROR(HYPERLINK("#'"&amp;HYPERLINK(目录)&amp;"'!A1",MID(目录,FIND("]",目录)+1,99)),"")</f>
        <v/>
      </c>
    </row>
    <row r="68" ht="13.5" spans="1:2">
      <c r="A68" s="378">
        <v>65</v>
      </c>
      <c r="B68" s="380" t="str">
        <f ca="1">IFERROR(HYPERLINK("#'"&amp;HYPERLINK(目录)&amp;"'!A1",MID(目录,FIND("]",目录)+1,99)),"")</f>
        <v/>
      </c>
    </row>
    <row r="69" ht="13.5" spans="1:2">
      <c r="A69" s="378">
        <v>66</v>
      </c>
      <c r="B69" s="380" t="str">
        <f ca="1">IFERROR(HYPERLINK("#'"&amp;HYPERLINK(目录)&amp;"'!A1",MID(目录,FIND("]",目录)+1,99)),"")</f>
        <v/>
      </c>
    </row>
    <row r="70" ht="13.5" spans="1:2">
      <c r="A70" s="378">
        <v>67</v>
      </c>
      <c r="B70" s="380" t="str">
        <f ca="1">IFERROR(HYPERLINK("#'"&amp;HYPERLINK(目录)&amp;"'!A1",MID(目录,FIND("]",目录)+1,99)),"")</f>
        <v/>
      </c>
    </row>
    <row r="71" ht="13.5" spans="1:2">
      <c r="A71" s="378">
        <v>68</v>
      </c>
      <c r="B71" s="380" t="str">
        <f ca="1">IFERROR(HYPERLINK("#'"&amp;HYPERLINK(目录)&amp;"'!A1",MID(目录,FIND("]",目录)+1,99)),"")</f>
        <v/>
      </c>
    </row>
    <row r="72" ht="13.5" spans="1:2">
      <c r="A72" s="378">
        <v>69</v>
      </c>
      <c r="B72" s="380" t="str">
        <f ca="1">IFERROR(HYPERLINK("#'"&amp;HYPERLINK(目录)&amp;"'!A1",MID(目录,FIND("]",目录)+1,99)),"")</f>
        <v/>
      </c>
    </row>
    <row r="73" ht="13.5" spans="1:2">
      <c r="A73" s="378">
        <v>70</v>
      </c>
      <c r="B73" s="380" t="str">
        <f ca="1">IFERROR(HYPERLINK("#'"&amp;HYPERLINK(目录)&amp;"'!A1",MID(目录,FIND("]",目录)+1,99)),"")</f>
        <v/>
      </c>
    </row>
    <row r="74" ht="13.5" spans="1:2">
      <c r="A74" s="378">
        <v>71</v>
      </c>
      <c r="B74" s="380" t="str">
        <f ca="1">IFERROR(HYPERLINK("#'"&amp;HYPERLINK(目录)&amp;"'!A1",MID(目录,FIND("]",目录)+1,99)),"")</f>
        <v/>
      </c>
    </row>
    <row r="75" ht="13.5" spans="1:2">
      <c r="A75" s="378">
        <v>72</v>
      </c>
      <c r="B75" s="380" t="str">
        <f ca="1">IFERROR(HYPERLINK("#'"&amp;HYPERLINK(目录)&amp;"'!A1",MID(目录,FIND("]",目录)+1,99)),"")</f>
        <v/>
      </c>
    </row>
    <row r="76" ht="13.5" spans="1:2">
      <c r="A76" s="378">
        <v>73</v>
      </c>
      <c r="B76" s="380" t="str">
        <f ca="1">IFERROR(HYPERLINK("#'"&amp;HYPERLINK(目录)&amp;"'!A1",MID(目录,FIND("]",目录)+1,99)),"")</f>
        <v/>
      </c>
    </row>
    <row r="77" ht="13.5" spans="1:2">
      <c r="A77" s="378">
        <v>74</v>
      </c>
      <c r="B77" s="380" t="str">
        <f ca="1">IFERROR(HYPERLINK("#'"&amp;HYPERLINK(目录)&amp;"'!A1",MID(目录,FIND("]",目录)+1,99)),"")</f>
        <v/>
      </c>
    </row>
    <row r="78" ht="13.5" spans="1:2">
      <c r="A78" s="378">
        <v>75</v>
      </c>
      <c r="B78" s="380" t="str">
        <f ca="1">IFERROR(HYPERLINK("#'"&amp;HYPERLINK(目录)&amp;"'!A1",MID(目录,FIND("]",目录)+1,99)),"")</f>
        <v/>
      </c>
    </row>
    <row r="79" s="362" customFormat="1" ht="18.75" spans="1:2">
      <c r="A79" s="378">
        <v>76</v>
      </c>
      <c r="B79" s="380" t="str">
        <f ca="1">IFERROR(HYPERLINK("#'"&amp;HYPERLINK(目录)&amp;"'!A1",MID(目录,FIND("]",目录)+1,99)),"")</f>
        <v/>
      </c>
    </row>
    <row r="80" ht="13.5" spans="1:2">
      <c r="A80" s="378">
        <v>77</v>
      </c>
      <c r="B80" s="380" t="str">
        <f ca="1">IFERROR(HYPERLINK("#'"&amp;HYPERLINK(目录)&amp;"'!A1",MID(目录,FIND("]",目录)+1,99)),"")</f>
        <v/>
      </c>
    </row>
    <row r="81" ht="13.5" spans="1:2">
      <c r="A81" s="378">
        <v>78</v>
      </c>
      <c r="B81" s="380" t="str">
        <f ca="1">IFERROR(HYPERLINK("#'"&amp;HYPERLINK(目录)&amp;"'!A1",MID(目录,FIND("]",目录)+1,99)),"")</f>
        <v/>
      </c>
    </row>
    <row r="82" ht="13.5" spans="1:2">
      <c r="A82" s="378">
        <v>79</v>
      </c>
      <c r="B82" s="380" t="str">
        <f ca="1">IFERROR(HYPERLINK("#'"&amp;HYPERLINK(目录)&amp;"'!A1",MID(目录,FIND("]",目录)+1,99)),"")</f>
        <v/>
      </c>
    </row>
    <row r="83" ht="13.5" spans="1:2">
      <c r="A83" s="378">
        <v>80</v>
      </c>
      <c r="B83" s="380" t="str">
        <f ca="1">IFERROR(HYPERLINK("#'"&amp;HYPERLINK(目录)&amp;"'!A1",MID(目录,FIND("]",目录)+1,99)),"")</f>
        <v/>
      </c>
    </row>
    <row r="84" ht="13.5" spans="1:2">
      <c r="A84" s="378">
        <v>81</v>
      </c>
      <c r="B84" s="380" t="str">
        <f ca="1">IFERROR(HYPERLINK("#'"&amp;HYPERLINK(目录)&amp;"'!A1",MID(目录,FIND("]",目录)+1,99)),"")</f>
        <v/>
      </c>
    </row>
    <row r="85" ht="13.5" spans="1:2">
      <c r="A85" s="378">
        <v>82</v>
      </c>
      <c r="B85" s="380" t="str">
        <f ca="1">IFERROR(HYPERLINK("#'"&amp;HYPERLINK(目录)&amp;"'!A1",MID(目录,FIND("]",目录)+1,99)),"")</f>
        <v/>
      </c>
    </row>
    <row r="86" ht="13.5" spans="1:2">
      <c r="A86" s="375">
        <v>83</v>
      </c>
      <c r="B86" s="376" t="str">
        <f ca="1">IFERROR(HYPERLINK("#'"&amp;HYPERLINK(目录)&amp;"'!A1",MID(目录,FIND("]",目录)+1,99)),"")</f>
        <v/>
      </c>
    </row>
    <row r="87" ht="13.5" spans="1:2">
      <c r="A87" s="375">
        <v>84</v>
      </c>
      <c r="B87" s="377" t="str">
        <f ca="1">IFERROR(HYPERLINK("#'"&amp;HYPERLINK(目录)&amp;"'!A1",MID(目录,FIND("]",目录)+1,99)),"")</f>
        <v/>
      </c>
    </row>
    <row r="88" ht="13.5" spans="1:2">
      <c r="A88" s="375">
        <v>85</v>
      </c>
      <c r="B88" s="377" t="str">
        <f ca="1">IFERROR(HYPERLINK("#'"&amp;HYPERLINK(目录)&amp;"'!A1",MID(目录,FIND("]",目录)+1,99)),"")</f>
        <v/>
      </c>
    </row>
    <row r="89" ht="13.5" spans="1:2">
      <c r="A89" s="375">
        <v>86</v>
      </c>
      <c r="B89" s="377" t="str">
        <f ca="1">IFERROR(HYPERLINK("#'"&amp;HYPERLINK(目录)&amp;"'!A1",MID(目录,FIND("]",目录)+1,99)),"")</f>
        <v/>
      </c>
    </row>
    <row r="90" ht="13.5" spans="1:2">
      <c r="A90" s="375">
        <v>87</v>
      </c>
      <c r="B90" s="377" t="str">
        <f ca="1">IFERROR(HYPERLINK("#'"&amp;HYPERLINK(目录)&amp;"'!A1",MID(目录,FIND("]",目录)+1,99)),"")</f>
        <v/>
      </c>
    </row>
    <row r="91" ht="13.5" spans="1:2">
      <c r="A91" s="375">
        <v>88</v>
      </c>
      <c r="B91" s="377" t="str">
        <f ca="1">IFERROR(HYPERLINK("#'"&amp;HYPERLINK(目录)&amp;"'!A1",MID(目录,FIND("]",目录)+1,99)),"")</f>
        <v/>
      </c>
    </row>
    <row r="92" ht="13.5" spans="1:2">
      <c r="A92" s="375">
        <v>89</v>
      </c>
      <c r="B92" s="377" t="str">
        <f ca="1">IFERROR(HYPERLINK("#'"&amp;HYPERLINK(目录)&amp;"'!A1",MID(目录,FIND("]",目录)+1,99)),"")</f>
        <v/>
      </c>
    </row>
    <row r="93" ht="13.5" spans="1:2">
      <c r="A93" s="375">
        <v>90</v>
      </c>
      <c r="B93" s="377" t="str">
        <f ca="1">IFERROR(HYPERLINK("#'"&amp;HYPERLINK(目录)&amp;"'!A1",MID(目录,FIND("]",目录)+1,99)),"")</f>
        <v/>
      </c>
    </row>
    <row r="94" ht="13.5" spans="1:2">
      <c r="A94" s="375">
        <v>91</v>
      </c>
      <c r="B94" s="377" t="str">
        <f ca="1">IFERROR(HYPERLINK("#'"&amp;HYPERLINK(目录)&amp;"'!A1",MID(目录,FIND("]",目录)+1,99)),"")</f>
        <v/>
      </c>
    </row>
    <row r="95" ht="13.5" spans="1:2">
      <c r="A95" s="375">
        <v>92</v>
      </c>
      <c r="B95" s="377" t="str">
        <f ca="1">IFERROR(HYPERLINK("#'"&amp;HYPERLINK(目录)&amp;"'!A1",MID(目录,FIND("]",目录)+1,99)),"")</f>
        <v/>
      </c>
    </row>
    <row r="96" ht="13.5" spans="1:2">
      <c r="A96" s="375">
        <v>93</v>
      </c>
      <c r="B96" s="377" t="str">
        <f ca="1">IFERROR(HYPERLINK("#'"&amp;HYPERLINK(目录)&amp;"'!A1",MID(目录,FIND("]",目录)+1,99)),"")</f>
        <v/>
      </c>
    </row>
    <row r="97" ht="13.5" spans="1:2">
      <c r="A97" s="375">
        <v>94</v>
      </c>
      <c r="B97" s="377" t="str">
        <f ca="1">IFERROR(HYPERLINK("#'"&amp;HYPERLINK(目录)&amp;"'!A1",MID(目录,FIND("]",目录)+1,99)),"")</f>
        <v/>
      </c>
    </row>
    <row r="98" ht="13.5" spans="1:2">
      <c r="A98" s="375">
        <v>95</v>
      </c>
      <c r="B98" s="377" t="str">
        <f ca="1">IFERROR(HYPERLINK("#'"&amp;HYPERLINK(目录)&amp;"'!A1",MID(目录,FIND("]",目录)+1,99)),"")</f>
        <v/>
      </c>
    </row>
    <row r="99" ht="13.5" spans="1:2">
      <c r="A99" s="375">
        <v>96</v>
      </c>
      <c r="B99" s="377" t="str">
        <f ca="1">IFERROR(HYPERLINK("#'"&amp;HYPERLINK(目录)&amp;"'!A1",MID(目录,FIND("]",目录)+1,99)),"")</f>
        <v/>
      </c>
    </row>
    <row r="100" ht="13.5" spans="1:2">
      <c r="A100" s="375">
        <v>96</v>
      </c>
      <c r="B100" s="377" t="str">
        <f ca="1">IFERROR(HYPERLINK("#'"&amp;HYPERLINK(目录)&amp;"'!A1",MID(目录,FIND("]",目录)+1,99)),"")</f>
        <v/>
      </c>
    </row>
  </sheetData>
  <autoFilter ref="A3:B100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3"/>
  <sheetViews>
    <sheetView workbookViewId="0">
      <pane xSplit="1" ySplit="2" topLeftCell="B6" activePane="bottomRight" state="frozen"/>
      <selection/>
      <selection pane="topRight"/>
      <selection pane="bottomLeft"/>
      <selection pane="bottomRight" activeCell="B32" sqref="B32"/>
    </sheetView>
  </sheetViews>
  <sheetFormatPr defaultColWidth="9" defaultRowHeight="16.5"/>
  <cols>
    <col min="1" max="1" width="13" style="332" customWidth="1"/>
    <col min="2" max="14" width="12.25" style="332" customWidth="1"/>
    <col min="15" max="15" width="6.875" style="332" customWidth="1"/>
    <col min="16" max="16384" width="9" style="332"/>
  </cols>
  <sheetData>
    <row r="1" ht="18" customHeight="1" spans="1:15">
      <c r="A1" s="334" t="s">
        <v>9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50" t="s">
        <v>10</v>
      </c>
    </row>
    <row r="2" spans="1:15">
      <c r="A2" s="335" t="s">
        <v>11</v>
      </c>
      <c r="B2" s="336">
        <v>43831</v>
      </c>
      <c r="C2" s="336">
        <v>43862</v>
      </c>
      <c r="D2" s="336">
        <v>43891</v>
      </c>
      <c r="E2" s="336">
        <v>43922</v>
      </c>
      <c r="F2" s="336">
        <v>43952</v>
      </c>
      <c r="G2" s="336">
        <v>43983</v>
      </c>
      <c r="H2" s="336">
        <v>44013</v>
      </c>
      <c r="I2" s="336">
        <v>44044</v>
      </c>
      <c r="J2" s="336">
        <v>44075</v>
      </c>
      <c r="K2" s="336">
        <v>44105</v>
      </c>
      <c r="L2" s="336">
        <v>44136</v>
      </c>
      <c r="M2" s="336">
        <v>44166</v>
      </c>
      <c r="N2" s="351" t="s">
        <v>12</v>
      </c>
      <c r="O2" s="352" t="s">
        <v>13</v>
      </c>
    </row>
    <row r="3" spans="1:15">
      <c r="A3" s="337" t="s">
        <v>14</v>
      </c>
      <c r="B3" s="338">
        <f ca="1">IFERROR((B38+B66+B122),"")</f>
        <v>1287.349096</v>
      </c>
      <c r="C3" s="338">
        <f ca="1" t="shared" ref="C3:N3" si="0">IFERROR((C38+C66+C122),"")</f>
        <v>890.230672</v>
      </c>
      <c r="D3" s="338">
        <f ca="1" t="shared" si="0"/>
        <v>1873.031937</v>
      </c>
      <c r="E3" s="338">
        <f ca="1" t="shared" si="0"/>
        <v>1756.923725</v>
      </c>
      <c r="F3" s="338">
        <f ca="1" t="shared" si="0"/>
        <v>0</v>
      </c>
      <c r="G3" s="338">
        <f ca="1" t="shared" si="0"/>
        <v>0</v>
      </c>
      <c r="H3" s="338">
        <f ca="1" t="shared" si="0"/>
        <v>0</v>
      </c>
      <c r="I3" s="338">
        <f ca="1" t="shared" si="0"/>
        <v>0</v>
      </c>
      <c r="J3" s="338">
        <f ca="1" t="shared" si="0"/>
        <v>0</v>
      </c>
      <c r="K3" s="338">
        <f ca="1" t="shared" si="0"/>
        <v>0</v>
      </c>
      <c r="L3" s="338">
        <f ca="1" t="shared" si="0"/>
        <v>0</v>
      </c>
      <c r="M3" s="338">
        <f ca="1" t="shared" si="0"/>
        <v>0</v>
      </c>
      <c r="N3" s="338">
        <f ca="1" t="shared" si="0"/>
        <v>5807.53543</v>
      </c>
      <c r="O3" s="353">
        <f ca="1" t="shared" ref="O3:O26" si="1">IFERROR(SUM(B3:M3)-N3,"")</f>
        <v>0</v>
      </c>
    </row>
    <row r="4" spans="1:15">
      <c r="A4" s="335" t="s">
        <v>15</v>
      </c>
      <c r="B4" s="338">
        <f ca="1" t="shared" ref="B4:B25" si="2">IFERROR((B39+B67+B123),"")</f>
        <v>19.872733</v>
      </c>
      <c r="C4" s="338">
        <f ca="1" t="shared" ref="C4:C25" si="3">IFERROR((C39+C67+C123),"")</f>
        <v>-16.782937</v>
      </c>
      <c r="D4" s="338">
        <f ca="1" t="shared" ref="D4:D25" si="4">IFERROR((D39+D67+D123),"")</f>
        <v>6.20982800000001</v>
      </c>
      <c r="E4" s="338">
        <f ca="1" t="shared" ref="E4:E25" si="5">IFERROR((E39+E67+E123),"")</f>
        <v>8.52459599999998</v>
      </c>
      <c r="F4" s="338">
        <f ca="1" t="shared" ref="F4:F25" si="6">IFERROR((F39+F67+F123),"")</f>
        <v>0</v>
      </c>
      <c r="G4" s="338">
        <f ca="1" t="shared" ref="G4:G25" si="7">IFERROR((G39+G67+G123),"")</f>
        <v>0</v>
      </c>
      <c r="H4" s="338">
        <f ca="1" t="shared" ref="H4:H25" si="8">IFERROR((H39+H67+H123),"")</f>
        <v>0</v>
      </c>
      <c r="I4" s="338">
        <f ca="1" t="shared" ref="I4:I25" si="9">IFERROR((I39+I67+I123),"")</f>
        <v>0</v>
      </c>
      <c r="J4" s="338">
        <f ca="1" t="shared" ref="J4:J25" si="10">IFERROR((J39+J67+J123),"")</f>
        <v>0</v>
      </c>
      <c r="K4" s="338">
        <f ca="1" t="shared" ref="K4:K25" si="11">IFERROR((K39+K67+K123),"")</f>
        <v>0</v>
      </c>
      <c r="L4" s="338">
        <f ca="1" t="shared" ref="L4:L25" si="12">IFERROR((L39+L67+L123),"")</f>
        <v>0</v>
      </c>
      <c r="M4" s="338">
        <f ca="1" t="shared" ref="M4:M25" si="13">IFERROR((M39+M67+M123),"")</f>
        <v>0</v>
      </c>
      <c r="N4" s="338">
        <f ca="1" t="shared" ref="N4:N25" si="14">IFERROR((N39+N67+N123),"")</f>
        <v>17.82422</v>
      </c>
      <c r="O4" s="354">
        <f ca="1" t="shared" si="1"/>
        <v>0</v>
      </c>
    </row>
    <row r="5" spans="1:15">
      <c r="A5" s="337" t="s">
        <v>16</v>
      </c>
      <c r="B5" s="338">
        <f ca="1" t="shared" si="2"/>
        <v>71.581944</v>
      </c>
      <c r="C5" s="338">
        <f ca="1" t="shared" si="3"/>
        <v>42.769385</v>
      </c>
      <c r="D5" s="338">
        <f ca="1" t="shared" si="4"/>
        <v>48.179264</v>
      </c>
      <c r="E5" s="338">
        <f ca="1" t="shared" si="5"/>
        <v>64.382933</v>
      </c>
      <c r="F5" s="338">
        <f ca="1" t="shared" si="6"/>
        <v>0</v>
      </c>
      <c r="G5" s="338">
        <f ca="1" t="shared" si="7"/>
        <v>0</v>
      </c>
      <c r="H5" s="338">
        <f ca="1" t="shared" si="8"/>
        <v>0</v>
      </c>
      <c r="I5" s="338">
        <f ca="1" t="shared" si="9"/>
        <v>0</v>
      </c>
      <c r="J5" s="338">
        <f ca="1" t="shared" si="10"/>
        <v>0</v>
      </c>
      <c r="K5" s="338">
        <f ca="1" t="shared" si="11"/>
        <v>0</v>
      </c>
      <c r="L5" s="338">
        <f ca="1" t="shared" si="12"/>
        <v>0</v>
      </c>
      <c r="M5" s="338">
        <f ca="1" t="shared" si="13"/>
        <v>0</v>
      </c>
      <c r="N5" s="338">
        <f ca="1" t="shared" si="14"/>
        <v>226.913526</v>
      </c>
      <c r="O5" s="353">
        <f ca="1" t="shared" si="1"/>
        <v>0</v>
      </c>
    </row>
    <row r="6" spans="1:15">
      <c r="A6" s="335" t="s">
        <v>17</v>
      </c>
      <c r="B6" s="338">
        <f ca="1" t="shared" si="2"/>
        <v>155.976069</v>
      </c>
      <c r="C6" s="338">
        <f ca="1" t="shared" si="3"/>
        <v>255.94447</v>
      </c>
      <c r="D6" s="338">
        <f ca="1" t="shared" si="4"/>
        <v>417.030204</v>
      </c>
      <c r="E6" s="338">
        <f ca="1" t="shared" si="5"/>
        <v>383.598917</v>
      </c>
      <c r="F6" s="338">
        <f ca="1" t="shared" si="6"/>
        <v>0</v>
      </c>
      <c r="G6" s="338">
        <f ca="1" t="shared" si="7"/>
        <v>0</v>
      </c>
      <c r="H6" s="338">
        <f ca="1" t="shared" si="8"/>
        <v>0</v>
      </c>
      <c r="I6" s="338">
        <f ca="1" t="shared" si="9"/>
        <v>0</v>
      </c>
      <c r="J6" s="338">
        <f ca="1" t="shared" si="10"/>
        <v>0</v>
      </c>
      <c r="K6" s="338">
        <f ca="1" t="shared" si="11"/>
        <v>0</v>
      </c>
      <c r="L6" s="338">
        <f ca="1" t="shared" si="12"/>
        <v>0</v>
      </c>
      <c r="M6" s="338">
        <f ca="1" t="shared" si="13"/>
        <v>0</v>
      </c>
      <c r="N6" s="338">
        <f ca="1" t="shared" si="14"/>
        <v>1212.54966</v>
      </c>
      <c r="O6" s="354">
        <f ca="1" t="shared" si="1"/>
        <v>0</v>
      </c>
    </row>
    <row r="7" spans="1:15">
      <c r="A7" s="337" t="s">
        <v>18</v>
      </c>
      <c r="B7" s="338">
        <f ca="1" t="shared" si="2"/>
        <v>11.610581</v>
      </c>
      <c r="C7" s="338">
        <f ca="1" t="shared" si="3"/>
        <v>9.062028</v>
      </c>
      <c r="D7" s="338">
        <f ca="1" t="shared" si="4"/>
        <v>-19.921963</v>
      </c>
      <c r="E7" s="338">
        <f ca="1" t="shared" si="5"/>
        <v>16.833088</v>
      </c>
      <c r="F7" s="338">
        <f ca="1" t="shared" si="6"/>
        <v>0</v>
      </c>
      <c r="G7" s="338">
        <f ca="1" t="shared" si="7"/>
        <v>0</v>
      </c>
      <c r="H7" s="338">
        <f ca="1" t="shared" si="8"/>
        <v>0</v>
      </c>
      <c r="I7" s="338">
        <f ca="1" t="shared" si="9"/>
        <v>0</v>
      </c>
      <c r="J7" s="338">
        <f ca="1" t="shared" si="10"/>
        <v>0</v>
      </c>
      <c r="K7" s="338">
        <f ca="1" t="shared" si="11"/>
        <v>0</v>
      </c>
      <c r="L7" s="338">
        <f ca="1" t="shared" si="12"/>
        <v>0</v>
      </c>
      <c r="M7" s="338">
        <f ca="1" t="shared" si="13"/>
        <v>0</v>
      </c>
      <c r="N7" s="338">
        <f ca="1" t="shared" si="14"/>
        <v>17.583734</v>
      </c>
      <c r="O7" s="353">
        <f ca="1" t="shared" si="1"/>
        <v>0</v>
      </c>
    </row>
    <row r="8" spans="1:15">
      <c r="A8" s="335" t="s">
        <v>19</v>
      </c>
      <c r="B8" s="338">
        <f ca="1" t="shared" si="2"/>
        <v>1.156557</v>
      </c>
      <c r="C8" s="338">
        <f ca="1" t="shared" si="3"/>
        <v>1.855821</v>
      </c>
      <c r="D8" s="338">
        <f ca="1" t="shared" si="4"/>
        <v>1.647983</v>
      </c>
      <c r="E8" s="338">
        <f ca="1" t="shared" si="5"/>
        <v>1.730177</v>
      </c>
      <c r="F8" s="338">
        <f ca="1" t="shared" si="6"/>
        <v>0</v>
      </c>
      <c r="G8" s="338">
        <f ca="1" t="shared" si="7"/>
        <v>0</v>
      </c>
      <c r="H8" s="338">
        <f ca="1" t="shared" si="8"/>
        <v>0</v>
      </c>
      <c r="I8" s="338">
        <f ca="1" t="shared" si="9"/>
        <v>0</v>
      </c>
      <c r="J8" s="338">
        <f ca="1" t="shared" si="10"/>
        <v>0</v>
      </c>
      <c r="K8" s="338">
        <f ca="1" t="shared" si="11"/>
        <v>0</v>
      </c>
      <c r="L8" s="338">
        <f ca="1" t="shared" si="12"/>
        <v>0</v>
      </c>
      <c r="M8" s="338">
        <f ca="1" t="shared" si="13"/>
        <v>0</v>
      </c>
      <c r="N8" s="338">
        <f ca="1" t="shared" si="14"/>
        <v>6.390538</v>
      </c>
      <c r="O8" s="354">
        <f ca="1" t="shared" si="1"/>
        <v>0</v>
      </c>
    </row>
    <row r="9" spans="1:15">
      <c r="A9" s="337" t="s">
        <v>20</v>
      </c>
      <c r="B9" s="338">
        <f ca="1" t="shared" si="2"/>
        <v>2.879859</v>
      </c>
      <c r="C9" s="338">
        <f ca="1" t="shared" si="3"/>
        <v>4.345809</v>
      </c>
      <c r="D9" s="338">
        <f ca="1" t="shared" si="4"/>
        <v>4.533623</v>
      </c>
      <c r="E9" s="338">
        <f ca="1" t="shared" si="5"/>
        <v>2.907359</v>
      </c>
      <c r="F9" s="338">
        <f ca="1" t="shared" si="6"/>
        <v>0</v>
      </c>
      <c r="G9" s="338">
        <f ca="1" t="shared" si="7"/>
        <v>0</v>
      </c>
      <c r="H9" s="338">
        <f ca="1" t="shared" si="8"/>
        <v>0</v>
      </c>
      <c r="I9" s="338">
        <f ca="1" t="shared" si="9"/>
        <v>0</v>
      </c>
      <c r="J9" s="338">
        <f ca="1" t="shared" si="10"/>
        <v>0</v>
      </c>
      <c r="K9" s="338">
        <f ca="1" t="shared" si="11"/>
        <v>0</v>
      </c>
      <c r="L9" s="338">
        <f ca="1" t="shared" si="12"/>
        <v>0</v>
      </c>
      <c r="M9" s="338">
        <f ca="1" t="shared" si="13"/>
        <v>0</v>
      </c>
      <c r="N9" s="338">
        <f ca="1" t="shared" si="14"/>
        <v>14.66665</v>
      </c>
      <c r="O9" s="353">
        <f ca="1" t="shared" si="1"/>
        <v>0</v>
      </c>
    </row>
    <row r="10" spans="1:15">
      <c r="A10" s="335" t="s">
        <v>21</v>
      </c>
      <c r="B10" s="338">
        <f ca="1" t="shared" si="2"/>
        <v>2.608139</v>
      </c>
      <c r="C10" s="338">
        <f ca="1" t="shared" si="3"/>
        <v>2.129036</v>
      </c>
      <c r="D10" s="338">
        <f ca="1" t="shared" si="4"/>
        <v>1.431899</v>
      </c>
      <c r="E10" s="338">
        <f ca="1" t="shared" si="5"/>
        <v>-2.611178</v>
      </c>
      <c r="F10" s="338">
        <f ca="1" t="shared" si="6"/>
        <v>0</v>
      </c>
      <c r="G10" s="338">
        <f ca="1" t="shared" si="7"/>
        <v>0</v>
      </c>
      <c r="H10" s="338">
        <f ca="1" t="shared" si="8"/>
        <v>0</v>
      </c>
      <c r="I10" s="338">
        <f ca="1" t="shared" si="9"/>
        <v>0</v>
      </c>
      <c r="J10" s="338">
        <f ca="1" t="shared" si="10"/>
        <v>0</v>
      </c>
      <c r="K10" s="338">
        <f ca="1" t="shared" si="11"/>
        <v>0</v>
      </c>
      <c r="L10" s="338">
        <f ca="1" t="shared" si="12"/>
        <v>0</v>
      </c>
      <c r="M10" s="338">
        <f ca="1" t="shared" si="13"/>
        <v>0</v>
      </c>
      <c r="N10" s="338">
        <f ca="1" t="shared" si="14"/>
        <v>3.557896</v>
      </c>
      <c r="O10" s="354">
        <f ca="1" t="shared" si="1"/>
        <v>0</v>
      </c>
    </row>
    <row r="11" spans="1:15">
      <c r="A11" s="337" t="s">
        <v>22</v>
      </c>
      <c r="B11" s="338">
        <f ca="1" t="shared" si="2"/>
        <v>311.279734</v>
      </c>
      <c r="C11" s="338">
        <f ca="1" t="shared" si="3"/>
        <v>-94.156748</v>
      </c>
      <c r="D11" s="338">
        <f ca="1" t="shared" si="4"/>
        <v>131.554313</v>
      </c>
      <c r="E11" s="338">
        <f ca="1" t="shared" si="5"/>
        <v>184.094617</v>
      </c>
      <c r="F11" s="338">
        <f ca="1" t="shared" si="6"/>
        <v>0</v>
      </c>
      <c r="G11" s="338">
        <f ca="1" t="shared" si="7"/>
        <v>0</v>
      </c>
      <c r="H11" s="338">
        <f ca="1" t="shared" si="8"/>
        <v>0</v>
      </c>
      <c r="I11" s="338">
        <f ca="1" t="shared" si="9"/>
        <v>0</v>
      </c>
      <c r="J11" s="338">
        <f ca="1" t="shared" si="10"/>
        <v>0</v>
      </c>
      <c r="K11" s="338">
        <f ca="1" t="shared" si="11"/>
        <v>0</v>
      </c>
      <c r="L11" s="338">
        <f ca="1" t="shared" si="12"/>
        <v>0</v>
      </c>
      <c r="M11" s="338">
        <f ca="1" t="shared" si="13"/>
        <v>0</v>
      </c>
      <c r="N11" s="338">
        <f ca="1" t="shared" si="14"/>
        <v>532.771916</v>
      </c>
      <c r="O11" s="353">
        <f ca="1" t="shared" si="1"/>
        <v>0</v>
      </c>
    </row>
    <row r="12" spans="1:15">
      <c r="A12" s="335" t="s">
        <v>23</v>
      </c>
      <c r="B12" s="338">
        <f ca="1" t="shared" si="2"/>
        <v>142.6834</v>
      </c>
      <c r="C12" s="338">
        <f ca="1" t="shared" si="3"/>
        <v>179.599004</v>
      </c>
      <c r="D12" s="338">
        <f ca="1" t="shared" si="4"/>
        <v>213.787181</v>
      </c>
      <c r="E12" s="338">
        <f ca="1" t="shared" si="5"/>
        <v>205.040904</v>
      </c>
      <c r="F12" s="338">
        <f ca="1" t="shared" si="6"/>
        <v>0</v>
      </c>
      <c r="G12" s="338">
        <f ca="1" t="shared" si="7"/>
        <v>0</v>
      </c>
      <c r="H12" s="338">
        <f ca="1" t="shared" si="8"/>
        <v>0</v>
      </c>
      <c r="I12" s="338">
        <f ca="1" t="shared" si="9"/>
        <v>0</v>
      </c>
      <c r="J12" s="338">
        <f ca="1" t="shared" si="10"/>
        <v>0</v>
      </c>
      <c r="K12" s="338">
        <f ca="1" t="shared" si="11"/>
        <v>0</v>
      </c>
      <c r="L12" s="338">
        <f ca="1" t="shared" si="12"/>
        <v>0</v>
      </c>
      <c r="M12" s="338">
        <f ca="1" t="shared" si="13"/>
        <v>0</v>
      </c>
      <c r="N12" s="338">
        <f ca="1" t="shared" si="14"/>
        <v>741.110489</v>
      </c>
      <c r="O12" s="354">
        <f ca="1" t="shared" si="1"/>
        <v>0</v>
      </c>
    </row>
    <row r="13" spans="1:15">
      <c r="A13" s="337" t="s">
        <v>24</v>
      </c>
      <c r="B13" s="338">
        <f ca="1" t="shared" si="2"/>
        <v>7.722202</v>
      </c>
      <c r="C13" s="338">
        <f ca="1" t="shared" si="3"/>
        <v>10.04303</v>
      </c>
      <c r="D13" s="338">
        <f ca="1" t="shared" si="4"/>
        <v>8.155319</v>
      </c>
      <c r="E13" s="338">
        <f ca="1" t="shared" si="5"/>
        <v>8.939474</v>
      </c>
      <c r="F13" s="338">
        <f ca="1" t="shared" si="6"/>
        <v>0</v>
      </c>
      <c r="G13" s="338">
        <f ca="1" t="shared" si="7"/>
        <v>0</v>
      </c>
      <c r="H13" s="338">
        <f ca="1" t="shared" si="8"/>
        <v>0</v>
      </c>
      <c r="I13" s="338">
        <f ca="1" t="shared" si="9"/>
        <v>0</v>
      </c>
      <c r="J13" s="338">
        <f ca="1" t="shared" si="10"/>
        <v>0</v>
      </c>
      <c r="K13" s="338">
        <f ca="1" t="shared" si="11"/>
        <v>0</v>
      </c>
      <c r="L13" s="338">
        <f ca="1" t="shared" si="12"/>
        <v>0</v>
      </c>
      <c r="M13" s="338">
        <f ca="1" t="shared" si="13"/>
        <v>0</v>
      </c>
      <c r="N13" s="338">
        <f ca="1" t="shared" si="14"/>
        <v>34.860025</v>
      </c>
      <c r="O13" s="353">
        <f ca="1" t="shared" si="1"/>
        <v>0</v>
      </c>
    </row>
    <row r="14" spans="1:15">
      <c r="A14" s="335" t="s">
        <v>25</v>
      </c>
      <c r="B14" s="338">
        <f ca="1" t="shared" si="2"/>
        <v>27.19532</v>
      </c>
      <c r="C14" s="338">
        <f ca="1" t="shared" si="3"/>
        <v>25.756293</v>
      </c>
      <c r="D14" s="338">
        <f ca="1" t="shared" si="4"/>
        <v>26.304217</v>
      </c>
      <c r="E14" s="338">
        <f ca="1" t="shared" si="5"/>
        <v>25.12925</v>
      </c>
      <c r="F14" s="338">
        <f ca="1" t="shared" si="6"/>
        <v>0</v>
      </c>
      <c r="G14" s="338">
        <f ca="1" t="shared" si="7"/>
        <v>0</v>
      </c>
      <c r="H14" s="338">
        <f ca="1" t="shared" si="8"/>
        <v>0</v>
      </c>
      <c r="I14" s="338">
        <f ca="1" t="shared" si="9"/>
        <v>0</v>
      </c>
      <c r="J14" s="338">
        <f ca="1" t="shared" si="10"/>
        <v>0</v>
      </c>
      <c r="K14" s="338">
        <f ca="1" t="shared" si="11"/>
        <v>0</v>
      </c>
      <c r="L14" s="338">
        <f ca="1" t="shared" si="12"/>
        <v>0</v>
      </c>
      <c r="M14" s="338">
        <f ca="1" t="shared" si="13"/>
        <v>0</v>
      </c>
      <c r="N14" s="338">
        <f ca="1" t="shared" si="14"/>
        <v>104.38508</v>
      </c>
      <c r="O14" s="354">
        <f ca="1" t="shared" si="1"/>
        <v>0</v>
      </c>
    </row>
    <row r="15" spans="1:15">
      <c r="A15" s="337" t="s">
        <v>26</v>
      </c>
      <c r="B15" s="338">
        <f ca="1" t="shared" si="2"/>
        <v>899.086378</v>
      </c>
      <c r="C15" s="338">
        <f ca="1" t="shared" si="3"/>
        <v>957.953741</v>
      </c>
      <c r="D15" s="338">
        <f ca="1" t="shared" si="4"/>
        <v>1615.434048</v>
      </c>
      <c r="E15" s="338">
        <f ca="1" t="shared" si="5"/>
        <v>1814.795602</v>
      </c>
      <c r="F15" s="338">
        <f ca="1" t="shared" si="6"/>
        <v>0.0425379771</v>
      </c>
      <c r="G15" s="338">
        <f ca="1" t="shared" si="7"/>
        <v>0</v>
      </c>
      <c r="H15" s="338">
        <f ca="1" t="shared" si="8"/>
        <v>0</v>
      </c>
      <c r="I15" s="338">
        <f ca="1" t="shared" si="9"/>
        <v>0</v>
      </c>
      <c r="J15" s="338">
        <f ca="1" t="shared" si="10"/>
        <v>0</v>
      </c>
      <c r="K15" s="338">
        <f ca="1" t="shared" si="11"/>
        <v>0</v>
      </c>
      <c r="L15" s="338">
        <f ca="1" t="shared" si="12"/>
        <v>0</v>
      </c>
      <c r="M15" s="338">
        <f ca="1" t="shared" si="13"/>
        <v>0</v>
      </c>
      <c r="N15" s="338">
        <f ca="1" t="shared" si="14"/>
        <v>5287.3123069771</v>
      </c>
      <c r="O15" s="353">
        <f ca="1" t="shared" si="1"/>
        <v>0</v>
      </c>
    </row>
    <row r="16" spans="1:15">
      <c r="A16" s="335" t="s">
        <v>27</v>
      </c>
      <c r="B16" s="338">
        <f ca="1" t="shared" si="2"/>
        <v>197.237974</v>
      </c>
      <c r="C16" s="338">
        <f ca="1" t="shared" si="3"/>
        <v>482.632444</v>
      </c>
      <c r="D16" s="338">
        <f ca="1" t="shared" si="4"/>
        <v>573.87178</v>
      </c>
      <c r="E16" s="338">
        <f ca="1" t="shared" si="5"/>
        <v>645.718106</v>
      </c>
      <c r="F16" s="338">
        <f ca="1" t="shared" si="6"/>
        <v>0</v>
      </c>
      <c r="G16" s="338">
        <f ca="1" t="shared" si="7"/>
        <v>0</v>
      </c>
      <c r="H16" s="338">
        <f ca="1" t="shared" si="8"/>
        <v>0</v>
      </c>
      <c r="I16" s="338">
        <f ca="1" t="shared" si="9"/>
        <v>0</v>
      </c>
      <c r="J16" s="338">
        <f ca="1" t="shared" si="10"/>
        <v>0</v>
      </c>
      <c r="K16" s="338">
        <f ca="1" t="shared" si="11"/>
        <v>0</v>
      </c>
      <c r="L16" s="338">
        <f ca="1" t="shared" si="12"/>
        <v>0</v>
      </c>
      <c r="M16" s="338">
        <f ca="1" t="shared" si="13"/>
        <v>0</v>
      </c>
      <c r="N16" s="338">
        <f ca="1" t="shared" si="14"/>
        <v>1899.460304</v>
      </c>
      <c r="O16" s="354">
        <f ca="1" t="shared" si="1"/>
        <v>0</v>
      </c>
    </row>
    <row r="17" spans="1:15">
      <c r="A17" s="337" t="s">
        <v>28</v>
      </c>
      <c r="B17" s="338">
        <f ca="1" t="shared" si="2"/>
        <v>50.175262</v>
      </c>
      <c r="C17" s="338">
        <f ca="1" t="shared" si="3"/>
        <v>23.651717</v>
      </c>
      <c r="D17" s="338">
        <f ca="1" t="shared" si="4"/>
        <v>48.928154</v>
      </c>
      <c r="E17" s="338">
        <f ca="1" t="shared" si="5"/>
        <v>83.538387</v>
      </c>
      <c r="F17" s="338">
        <f ca="1" t="shared" si="6"/>
        <v>0</v>
      </c>
      <c r="G17" s="338">
        <f ca="1" t="shared" si="7"/>
        <v>0</v>
      </c>
      <c r="H17" s="338">
        <f ca="1" t="shared" si="8"/>
        <v>0</v>
      </c>
      <c r="I17" s="338">
        <f ca="1" t="shared" si="9"/>
        <v>0</v>
      </c>
      <c r="J17" s="338">
        <f ca="1" t="shared" si="10"/>
        <v>0</v>
      </c>
      <c r="K17" s="338">
        <f ca="1" t="shared" si="11"/>
        <v>0</v>
      </c>
      <c r="L17" s="338">
        <f ca="1" t="shared" si="12"/>
        <v>0</v>
      </c>
      <c r="M17" s="338">
        <f ca="1" t="shared" si="13"/>
        <v>0</v>
      </c>
      <c r="N17" s="338">
        <f ca="1" t="shared" si="14"/>
        <v>206.29352</v>
      </c>
      <c r="O17" s="353">
        <f ca="1" t="shared" si="1"/>
        <v>0</v>
      </c>
    </row>
    <row r="18" spans="1:15">
      <c r="A18" s="335" t="s">
        <v>29</v>
      </c>
      <c r="B18" s="338">
        <f ca="1" t="shared" si="2"/>
        <v>1.69563</v>
      </c>
      <c r="C18" s="338">
        <f ca="1" t="shared" si="3"/>
        <v>3.038482</v>
      </c>
      <c r="D18" s="338">
        <f ca="1" t="shared" si="4"/>
        <v>2.077232</v>
      </c>
      <c r="E18" s="338">
        <f ca="1" t="shared" si="5"/>
        <v>2.52838</v>
      </c>
      <c r="F18" s="338">
        <f ca="1" t="shared" si="6"/>
        <v>0</v>
      </c>
      <c r="G18" s="338">
        <f ca="1" t="shared" si="7"/>
        <v>0</v>
      </c>
      <c r="H18" s="338">
        <f ca="1" t="shared" si="8"/>
        <v>0</v>
      </c>
      <c r="I18" s="338">
        <f ca="1" t="shared" si="9"/>
        <v>0</v>
      </c>
      <c r="J18" s="338">
        <f ca="1" t="shared" si="10"/>
        <v>0</v>
      </c>
      <c r="K18" s="338">
        <f ca="1" t="shared" si="11"/>
        <v>0</v>
      </c>
      <c r="L18" s="338">
        <f ca="1" t="shared" si="12"/>
        <v>0</v>
      </c>
      <c r="M18" s="338">
        <f ca="1" t="shared" si="13"/>
        <v>0</v>
      </c>
      <c r="N18" s="338">
        <f ca="1" t="shared" si="14"/>
        <v>9.339724</v>
      </c>
      <c r="O18" s="354">
        <f ca="1" t="shared" si="1"/>
        <v>0</v>
      </c>
    </row>
    <row r="19" spans="1:15">
      <c r="A19" s="337" t="s">
        <v>30</v>
      </c>
      <c r="B19" s="338">
        <f ca="1" t="shared" si="2"/>
        <v>0.022</v>
      </c>
      <c r="C19" s="338">
        <f ca="1" t="shared" si="3"/>
        <v>0.132</v>
      </c>
      <c r="D19" s="338">
        <f ca="1" t="shared" si="4"/>
        <v>-0.028109</v>
      </c>
      <c r="E19" s="338">
        <f ca="1" t="shared" si="5"/>
        <v>0.0068</v>
      </c>
      <c r="F19" s="338">
        <f ca="1" t="shared" si="6"/>
        <v>0</v>
      </c>
      <c r="G19" s="338">
        <f ca="1" t="shared" si="7"/>
        <v>0</v>
      </c>
      <c r="H19" s="338">
        <f ca="1" t="shared" si="8"/>
        <v>0</v>
      </c>
      <c r="I19" s="338">
        <f ca="1" t="shared" si="9"/>
        <v>0</v>
      </c>
      <c r="J19" s="338">
        <f ca="1" t="shared" si="10"/>
        <v>0</v>
      </c>
      <c r="K19" s="338">
        <f ca="1" t="shared" si="11"/>
        <v>0</v>
      </c>
      <c r="L19" s="338">
        <f ca="1" t="shared" si="12"/>
        <v>0</v>
      </c>
      <c r="M19" s="338">
        <f ca="1" t="shared" si="13"/>
        <v>0</v>
      </c>
      <c r="N19" s="338">
        <f ca="1" t="shared" si="14"/>
        <v>0.132691</v>
      </c>
      <c r="O19" s="353">
        <f ca="1" t="shared" si="1"/>
        <v>0</v>
      </c>
    </row>
    <row r="20" spans="1:15">
      <c r="A20" s="335" t="s">
        <v>31</v>
      </c>
      <c r="B20" s="338">
        <f ca="1" t="shared" si="2"/>
        <v>1.4005</v>
      </c>
      <c r="C20" s="338">
        <f ca="1" t="shared" si="3"/>
        <v>0.03</v>
      </c>
      <c r="D20" s="338">
        <f ca="1" t="shared" si="4"/>
        <v>0.269309</v>
      </c>
      <c r="E20" s="338">
        <f ca="1" t="shared" si="5"/>
        <v>0</v>
      </c>
      <c r="F20" s="338">
        <f ca="1" t="shared" si="6"/>
        <v>0</v>
      </c>
      <c r="G20" s="338">
        <f ca="1" t="shared" si="7"/>
        <v>0</v>
      </c>
      <c r="H20" s="338">
        <f ca="1" t="shared" si="8"/>
        <v>0</v>
      </c>
      <c r="I20" s="338">
        <f ca="1" t="shared" si="9"/>
        <v>0</v>
      </c>
      <c r="J20" s="338">
        <f ca="1" t="shared" si="10"/>
        <v>0</v>
      </c>
      <c r="K20" s="338">
        <f ca="1" t="shared" si="11"/>
        <v>0</v>
      </c>
      <c r="L20" s="338">
        <f ca="1" t="shared" si="12"/>
        <v>0</v>
      </c>
      <c r="M20" s="338">
        <f ca="1" t="shared" si="13"/>
        <v>0</v>
      </c>
      <c r="N20" s="338">
        <f ca="1" t="shared" si="14"/>
        <v>1.699809</v>
      </c>
      <c r="O20" s="354">
        <f ca="1" t="shared" si="1"/>
        <v>0</v>
      </c>
    </row>
    <row r="21" spans="1:15">
      <c r="A21" s="337" t="s">
        <v>32</v>
      </c>
      <c r="B21" s="338">
        <f ca="1" t="shared" si="2"/>
        <v>24.191087</v>
      </c>
      <c r="C21" s="338">
        <f ca="1" t="shared" si="3"/>
        <v>17.538242</v>
      </c>
      <c r="D21" s="338">
        <f ca="1" t="shared" si="4"/>
        <v>23.374996</v>
      </c>
      <c r="E21" s="338">
        <f ca="1" t="shared" si="5"/>
        <v>28.683255</v>
      </c>
      <c r="F21" s="338">
        <f ca="1" t="shared" si="6"/>
        <v>0</v>
      </c>
      <c r="G21" s="338">
        <f ca="1" t="shared" si="7"/>
        <v>0</v>
      </c>
      <c r="H21" s="338">
        <f ca="1" t="shared" si="8"/>
        <v>0</v>
      </c>
      <c r="I21" s="338">
        <f ca="1" t="shared" si="9"/>
        <v>0</v>
      </c>
      <c r="J21" s="338">
        <f ca="1" t="shared" si="10"/>
        <v>0</v>
      </c>
      <c r="K21" s="338">
        <f ca="1" t="shared" si="11"/>
        <v>0</v>
      </c>
      <c r="L21" s="338">
        <f ca="1" t="shared" si="12"/>
        <v>0</v>
      </c>
      <c r="M21" s="338">
        <f ca="1" t="shared" si="13"/>
        <v>0</v>
      </c>
      <c r="N21" s="338">
        <f ca="1" t="shared" si="14"/>
        <v>93.78758</v>
      </c>
      <c r="O21" s="353">
        <f ca="1" t="shared" si="1"/>
        <v>0</v>
      </c>
    </row>
    <row r="22" spans="1:15">
      <c r="A22" s="335" t="s">
        <v>33</v>
      </c>
      <c r="B22" s="338">
        <f ca="1" t="shared" si="2"/>
        <v>58.708061</v>
      </c>
      <c r="C22" s="338">
        <f ca="1" t="shared" si="3"/>
        <v>39.486972</v>
      </c>
      <c r="D22" s="338">
        <f ca="1" t="shared" si="4"/>
        <v>58.337542</v>
      </c>
      <c r="E22" s="338">
        <f ca="1" t="shared" si="5"/>
        <v>105.057742</v>
      </c>
      <c r="F22" s="338">
        <f ca="1" t="shared" si="6"/>
        <v>0</v>
      </c>
      <c r="G22" s="338">
        <f ca="1" t="shared" si="7"/>
        <v>0</v>
      </c>
      <c r="H22" s="338">
        <f ca="1" t="shared" si="8"/>
        <v>0</v>
      </c>
      <c r="I22" s="338">
        <f ca="1" t="shared" si="9"/>
        <v>0</v>
      </c>
      <c r="J22" s="338">
        <f ca="1" t="shared" si="10"/>
        <v>0</v>
      </c>
      <c r="K22" s="338">
        <f ca="1" t="shared" si="11"/>
        <v>0</v>
      </c>
      <c r="L22" s="338">
        <f ca="1" t="shared" si="12"/>
        <v>0</v>
      </c>
      <c r="M22" s="338">
        <f ca="1" t="shared" si="13"/>
        <v>0</v>
      </c>
      <c r="N22" s="338">
        <f ca="1" t="shared" si="14"/>
        <v>261.590317</v>
      </c>
      <c r="O22" s="354">
        <f ca="1" t="shared" si="1"/>
        <v>0</v>
      </c>
    </row>
    <row r="23" spans="1:15">
      <c r="A23" s="337" t="s">
        <v>34</v>
      </c>
      <c r="B23" s="338">
        <f ca="1" t="shared" si="2"/>
        <v>157.229481</v>
      </c>
      <c r="C23" s="338">
        <f ca="1" t="shared" si="3"/>
        <v>149.008303</v>
      </c>
      <c r="D23" s="338">
        <f ca="1" t="shared" si="4"/>
        <v>155.831922</v>
      </c>
      <c r="E23" s="338">
        <f ca="1" t="shared" si="5"/>
        <v>151.298019</v>
      </c>
      <c r="F23" s="338">
        <f ca="1" t="shared" si="6"/>
        <v>0</v>
      </c>
      <c r="G23" s="338">
        <f ca="1" t="shared" si="7"/>
        <v>0</v>
      </c>
      <c r="H23" s="338">
        <f ca="1" t="shared" si="8"/>
        <v>0</v>
      </c>
      <c r="I23" s="338">
        <f ca="1" t="shared" si="9"/>
        <v>0</v>
      </c>
      <c r="J23" s="338">
        <f ca="1" t="shared" si="10"/>
        <v>0</v>
      </c>
      <c r="K23" s="338">
        <f ca="1" t="shared" si="11"/>
        <v>0</v>
      </c>
      <c r="L23" s="338">
        <f ca="1" t="shared" si="12"/>
        <v>0</v>
      </c>
      <c r="M23" s="338">
        <f ca="1" t="shared" si="13"/>
        <v>0</v>
      </c>
      <c r="N23" s="338">
        <f ca="1" t="shared" si="14"/>
        <v>613.367725</v>
      </c>
      <c r="O23" s="353">
        <f ca="1" t="shared" si="1"/>
        <v>0</v>
      </c>
    </row>
    <row r="24" spans="1:15">
      <c r="A24" s="335" t="s">
        <v>35</v>
      </c>
      <c r="B24" s="338">
        <f ca="1" t="shared" si="2"/>
        <v>0</v>
      </c>
      <c r="C24" s="338">
        <f ca="1" t="shared" si="3"/>
        <v>0</v>
      </c>
      <c r="D24" s="338">
        <f ca="1" t="shared" si="4"/>
        <v>0</v>
      </c>
      <c r="E24" s="338">
        <f ca="1" t="shared" si="5"/>
        <v>0.097754</v>
      </c>
      <c r="F24" s="338">
        <f ca="1" t="shared" si="6"/>
        <v>0</v>
      </c>
      <c r="G24" s="338">
        <f ca="1" t="shared" si="7"/>
        <v>0</v>
      </c>
      <c r="H24" s="338">
        <f ca="1" t="shared" si="8"/>
        <v>0</v>
      </c>
      <c r="I24" s="338">
        <f ca="1" t="shared" si="9"/>
        <v>0</v>
      </c>
      <c r="J24" s="338">
        <f ca="1" t="shared" si="10"/>
        <v>0</v>
      </c>
      <c r="K24" s="338">
        <f ca="1" t="shared" si="11"/>
        <v>0</v>
      </c>
      <c r="L24" s="338">
        <f ca="1" t="shared" si="12"/>
        <v>0</v>
      </c>
      <c r="M24" s="338">
        <f ca="1" t="shared" si="13"/>
        <v>0</v>
      </c>
      <c r="N24" s="338">
        <f ca="1" t="shared" si="14"/>
        <v>0.097754</v>
      </c>
      <c r="O24" s="354">
        <f ca="1" t="shared" si="1"/>
        <v>0</v>
      </c>
    </row>
    <row r="25" spans="1:15">
      <c r="A25" s="337" t="s">
        <v>36</v>
      </c>
      <c r="B25" s="338">
        <f ca="1" t="shared" si="2"/>
        <v>0</v>
      </c>
      <c r="C25" s="338">
        <f ca="1" t="shared" si="3"/>
        <v>0</v>
      </c>
      <c r="D25" s="338">
        <f ca="1" t="shared" si="4"/>
        <v>18.465235</v>
      </c>
      <c r="E25" s="338">
        <f ca="1" t="shared" si="5"/>
        <v>9.117082</v>
      </c>
      <c r="F25" s="338">
        <f ca="1" t="shared" si="6"/>
        <v>0</v>
      </c>
      <c r="G25" s="338">
        <f ca="1" t="shared" si="7"/>
        <v>0</v>
      </c>
      <c r="H25" s="338">
        <f ca="1" t="shared" si="8"/>
        <v>0</v>
      </c>
      <c r="I25" s="338">
        <f ca="1" t="shared" si="9"/>
        <v>0</v>
      </c>
      <c r="J25" s="338">
        <f ca="1" t="shared" si="10"/>
        <v>0</v>
      </c>
      <c r="K25" s="338">
        <f ca="1" t="shared" si="11"/>
        <v>0</v>
      </c>
      <c r="L25" s="338">
        <f ca="1" t="shared" si="12"/>
        <v>0</v>
      </c>
      <c r="M25" s="338">
        <f ca="1" t="shared" si="13"/>
        <v>0</v>
      </c>
      <c r="N25" s="338">
        <f ca="1" t="shared" si="14"/>
        <v>27.582317</v>
      </c>
      <c r="O25" s="353">
        <f ca="1" t="shared" si="1"/>
        <v>0</v>
      </c>
    </row>
    <row r="26" spans="1:15">
      <c r="A26" s="339" t="s">
        <v>37</v>
      </c>
      <c r="B26" s="340">
        <f ca="1" t="shared" ref="B26:N26" si="15">SUM(B3:B25)</f>
        <v>3431.662007</v>
      </c>
      <c r="C26" s="340">
        <f ca="1" t="shared" si="15"/>
        <v>2984.267764</v>
      </c>
      <c r="D26" s="340">
        <f ca="1" t="shared" si="15"/>
        <v>5208.505914</v>
      </c>
      <c r="E26" s="340">
        <f ca="1" t="shared" si="15"/>
        <v>5496.334989</v>
      </c>
      <c r="F26" s="340">
        <f ca="1" t="shared" si="15"/>
        <v>0.0425379771</v>
      </c>
      <c r="G26" s="340">
        <f ca="1" t="shared" si="15"/>
        <v>0</v>
      </c>
      <c r="H26" s="340">
        <f ca="1" t="shared" si="15"/>
        <v>0</v>
      </c>
      <c r="I26" s="340">
        <f ca="1" t="shared" si="15"/>
        <v>0</v>
      </c>
      <c r="J26" s="340">
        <f ca="1" t="shared" si="15"/>
        <v>0</v>
      </c>
      <c r="K26" s="340">
        <f ca="1" t="shared" si="15"/>
        <v>0</v>
      </c>
      <c r="L26" s="340">
        <f ca="1" t="shared" si="15"/>
        <v>0</v>
      </c>
      <c r="M26" s="340">
        <f ca="1" t="shared" si="15"/>
        <v>0</v>
      </c>
      <c r="N26" s="340">
        <f ca="1" t="shared" si="15"/>
        <v>17120.8132119771</v>
      </c>
      <c r="O26" s="354">
        <f ca="1" t="shared" si="1"/>
        <v>0</v>
      </c>
    </row>
    <row r="27" spans="1:15">
      <c r="A27" s="337" t="s">
        <v>38</v>
      </c>
      <c r="B27" s="338">
        <f>合并管理费用表09!D140/10000</f>
        <v>42.231196</v>
      </c>
      <c r="C27" s="338">
        <f>合并管理费用表09!E140/10000</f>
        <v>42.231196</v>
      </c>
      <c r="D27" s="338">
        <f>合并管理费用表09!F140/10000</f>
        <v>42.339196</v>
      </c>
      <c r="E27" s="338">
        <f>合并管理费用表09!G140/10000</f>
        <v>42.267196</v>
      </c>
      <c r="F27" s="338">
        <f>合并管理费用表09!H140/10000</f>
        <v>42.267196</v>
      </c>
      <c r="G27" s="338">
        <f>合并管理费用表09!I140/10000</f>
        <v>42.267196</v>
      </c>
      <c r="H27" s="338">
        <f>合并管理费用表09!J140/10000</f>
        <v>42.267196</v>
      </c>
      <c r="I27" s="338">
        <f>合并管理费用表09!K140/10000</f>
        <v>42.267196</v>
      </c>
      <c r="J27" s="338">
        <f>合并管理费用表09!L140/10000</f>
        <v>42.267196</v>
      </c>
      <c r="K27" s="338">
        <f>合并管理费用表09!M140/10000</f>
        <v>42.267196</v>
      </c>
      <c r="L27" s="338">
        <f>合并管理费用表09!N140/10000</f>
        <v>42.267196</v>
      </c>
      <c r="M27" s="338">
        <f>合并管理费用表09!O140/10000</f>
        <v>42.267196</v>
      </c>
      <c r="N27" s="338">
        <f>合并管理费用表09!P140/10000</f>
        <v>507.206352</v>
      </c>
      <c r="O27" s="353"/>
    </row>
    <row r="28" spans="1:15">
      <c r="A28" s="335" t="s">
        <v>39</v>
      </c>
      <c r="B28" s="341">
        <f>合并销售费用12!D135/10000</f>
        <v>0</v>
      </c>
      <c r="C28" s="341">
        <f>合并销售费用12!E135/10000</f>
        <v>-108.632463</v>
      </c>
      <c r="D28" s="341">
        <f>合并销售费用12!F135/10000</f>
        <v>-165.640427</v>
      </c>
      <c r="E28" s="341">
        <f>合并销售费用12!G135/10000</f>
        <v>-161.143424</v>
      </c>
      <c r="F28" s="341">
        <f>合并销售费用12!H135/10000</f>
        <v>0</v>
      </c>
      <c r="G28" s="341">
        <f>合并销售费用12!I135/10000</f>
        <v>0</v>
      </c>
      <c r="H28" s="341">
        <f>合并销售费用12!J135/10000</f>
        <v>0</v>
      </c>
      <c r="I28" s="341">
        <f>合并销售费用12!K135/10000</f>
        <v>0</v>
      </c>
      <c r="J28" s="341">
        <f>合并销售费用12!L135/10000</f>
        <v>0</v>
      </c>
      <c r="K28" s="341">
        <f>合并销售费用12!M135/10000</f>
        <v>0</v>
      </c>
      <c r="L28" s="341">
        <f>合并销售费用12!N135/10000</f>
        <v>0</v>
      </c>
      <c r="M28" s="341">
        <f>合并销售费用12!O135/10000</f>
        <v>0</v>
      </c>
      <c r="N28" s="341">
        <f>合并销售费用12!P135/10000</f>
        <v>-435.416314</v>
      </c>
      <c r="O28" s="354"/>
    </row>
    <row r="29" spans="1:15">
      <c r="A29" s="337" t="s">
        <v>40</v>
      </c>
      <c r="B29" s="338">
        <f>B27+B28</f>
        <v>42.231196</v>
      </c>
      <c r="C29" s="338">
        <f t="shared" ref="C29:N29" si="16">C27+C28</f>
        <v>-66.401267</v>
      </c>
      <c r="D29" s="338">
        <f t="shared" si="16"/>
        <v>-123.301231</v>
      </c>
      <c r="E29" s="338">
        <f t="shared" si="16"/>
        <v>-118.876228</v>
      </c>
      <c r="F29" s="338">
        <f t="shared" si="16"/>
        <v>42.267196</v>
      </c>
      <c r="G29" s="338">
        <f t="shared" si="16"/>
        <v>42.267196</v>
      </c>
      <c r="H29" s="338">
        <f t="shared" si="16"/>
        <v>42.267196</v>
      </c>
      <c r="I29" s="338">
        <f t="shared" si="16"/>
        <v>42.267196</v>
      </c>
      <c r="J29" s="338">
        <f t="shared" si="16"/>
        <v>42.267196</v>
      </c>
      <c r="K29" s="338">
        <f t="shared" si="16"/>
        <v>42.267196</v>
      </c>
      <c r="L29" s="338">
        <f t="shared" si="16"/>
        <v>42.267196</v>
      </c>
      <c r="M29" s="338">
        <f t="shared" si="16"/>
        <v>42.267196</v>
      </c>
      <c r="N29" s="338">
        <f t="shared" si="16"/>
        <v>71.7900380000001</v>
      </c>
      <c r="O29" s="355"/>
    </row>
    <row r="30" spans="1:15">
      <c r="A30" s="339" t="s">
        <v>41</v>
      </c>
      <c r="B30" s="340">
        <f ca="1">B26+B29</f>
        <v>3473.893203</v>
      </c>
      <c r="C30" s="340">
        <f ca="1" t="shared" ref="C30:N30" si="17">C26+C29</f>
        <v>2917.866497</v>
      </c>
      <c r="D30" s="340">
        <f ca="1" t="shared" si="17"/>
        <v>5085.204683</v>
      </c>
      <c r="E30" s="340">
        <f ca="1" t="shared" si="17"/>
        <v>5377.458761</v>
      </c>
      <c r="F30" s="340">
        <f ca="1" t="shared" si="17"/>
        <v>42.3097339771</v>
      </c>
      <c r="G30" s="340">
        <f ca="1" t="shared" si="17"/>
        <v>42.267196</v>
      </c>
      <c r="H30" s="340">
        <f ca="1" t="shared" si="17"/>
        <v>42.267196</v>
      </c>
      <c r="I30" s="340">
        <f ca="1" t="shared" si="17"/>
        <v>42.267196</v>
      </c>
      <c r="J30" s="340">
        <f ca="1" t="shared" si="17"/>
        <v>42.267196</v>
      </c>
      <c r="K30" s="340">
        <f ca="1" t="shared" si="17"/>
        <v>42.267196</v>
      </c>
      <c r="L30" s="340">
        <f ca="1" t="shared" si="17"/>
        <v>42.267196</v>
      </c>
      <c r="M30" s="340">
        <f ca="1" t="shared" si="17"/>
        <v>42.267196</v>
      </c>
      <c r="N30" s="340">
        <f ca="1" t="shared" si="17"/>
        <v>17192.6032499771</v>
      </c>
      <c r="O30" s="352"/>
    </row>
    <row r="31" spans="1:15">
      <c r="A31" s="337" t="s">
        <v>42</v>
      </c>
      <c r="B31" s="338">
        <f ca="1">SUM('G-高新:G-浙江天硕'!D93)/10000+SUM('C-高新:C-浙江天硕'!C13)/10000+SUM('X-高新:X-中天鸿锂'!D93)/10000-B26</f>
        <v>0</v>
      </c>
      <c r="C31" s="338">
        <f ca="1">SUM('G-高新:G-浙江天硕'!E93)/10000+SUM('C-高新:C-浙江天硕'!D13)/10000+SUM('X-高新:X-中天鸿锂'!E93)/10000-C26</f>
        <v>0</v>
      </c>
      <c r="D31" s="338">
        <f ca="1">SUM('G-高新:G-浙江天硕'!F93)/10000+SUM('C-高新:C-浙江天硕'!E13)/10000+SUM('X-高新:X-中天鸿锂'!F93)/10000-D26</f>
        <v>0</v>
      </c>
      <c r="E31" s="338">
        <f ca="1">SUM('G-高新:G-浙江天硕'!G93)/10000+SUM('C-高新:C-浙江天硕'!F13)/10000+SUM('X-高新:X-中天鸿锂'!G93)/10000-E26</f>
        <v>0</v>
      </c>
      <c r="F31" s="338">
        <f ca="1">SUM('G-高新:G-浙江天硕'!H93)/10000+SUM('C-高新:C-浙江天硕'!G13)/10000+SUM('X-高新:X-中天鸿锂'!H93)/10000-F26</f>
        <v>0</v>
      </c>
      <c r="G31" s="338">
        <f ca="1">SUM('G-高新:G-浙江天硕'!I93)/10000+SUM('C-高新:C-浙江天硕'!H13)/10000+SUM('X-高新:X-中天鸿锂'!I93)/10000-G26</f>
        <v>0</v>
      </c>
      <c r="H31" s="338">
        <f ca="1">SUM('G-高新:G-浙江天硕'!J93)/10000+SUM('C-高新:C-浙江天硕'!I13)/10000+SUM('X-高新:X-中天鸿锂'!J93)/10000-H26</f>
        <v>0</v>
      </c>
      <c r="I31" s="338">
        <f ca="1">SUM('G-高新:G-浙江天硕'!K93)/10000+SUM('C-高新:C-浙江天硕'!J13)/10000+SUM('X-高新:X-中天鸿锂'!K93)/10000-I26</f>
        <v>0</v>
      </c>
      <c r="J31" s="338">
        <f ca="1">SUM('G-高新:G-浙江天硕'!L93)/10000+SUM('C-高新:C-浙江天硕'!K13)/10000+SUM('X-高新:X-中天鸿锂'!L93)/10000-J26</f>
        <v>0</v>
      </c>
      <c r="K31" s="338">
        <f ca="1">SUM('G-高新:G-浙江天硕'!M93)/10000+SUM('C-高新:C-浙江天硕'!L13)/10000+SUM('X-高新:X-中天鸿锂'!M93)/10000-K26</f>
        <v>0</v>
      </c>
      <c r="L31" s="338">
        <f ca="1">SUM('G-高新:G-浙江天硕'!N93)/10000+SUM('C-高新:C-浙江天硕'!M13)/10000+SUM('X-高新:X-中天鸿锂'!N93)/10000-L26</f>
        <v>0</v>
      </c>
      <c r="M31" s="338">
        <f ca="1">SUM('G-高新:G-浙江天硕'!O93)/10000+SUM('C-高新:C-浙江天硕'!N13)/10000+SUM('X-高新:X-中天鸿锂'!O93)/10000-M26</f>
        <v>0</v>
      </c>
      <c r="N31" s="338">
        <f ca="1">SUM('G-高新:G-浙江天硕'!P93)/10000+SUM('C-高新:C-浙江天硕'!O13)/10000+SUM('X-高新:X-中天鸿锂'!P93)/10000-N26</f>
        <v>0</v>
      </c>
      <c r="O31" s="355"/>
    </row>
    <row r="32" s="332" customFormat="1" spans="1:15">
      <c r="A32" s="335" t="s">
        <v>43</v>
      </c>
      <c r="B32" s="341">
        <f ca="1">B30-(合并管理费用表09!D93+合并销售费用12!D93+合并财务费用13!C13)/10000</f>
        <v>0</v>
      </c>
      <c r="C32" s="341">
        <f ca="1">C30-(合并管理费用表09!E93+合并销售费用12!E93+合并财务费用13!D13)/10000</f>
        <v>0</v>
      </c>
      <c r="D32" s="341">
        <f ca="1">D30-(合并管理费用表09!F93+合并销售费用12!F93+合并财务费用13!E13)/10000</f>
        <v>0</v>
      </c>
      <c r="E32" s="341">
        <f ca="1">E30-(合并管理费用表09!G93+合并销售费用12!G93+合并财务费用13!F13)/10000</f>
        <v>0</v>
      </c>
      <c r="F32" s="341">
        <f ca="1">F30-(合并管理费用表09!H93+合并销售费用12!H93+合并财务费用13!G13)/10000</f>
        <v>0</v>
      </c>
      <c r="G32" s="341">
        <f ca="1">G30-(合并管理费用表09!I93+合并销售费用12!I93+合并财务费用13!H13)/10000</f>
        <v>0</v>
      </c>
      <c r="H32" s="341">
        <f ca="1">H30-(合并管理费用表09!J93+合并销售费用12!J93+合并财务费用13!I13)/10000</f>
        <v>0</v>
      </c>
      <c r="I32" s="341">
        <f ca="1">I30-(合并管理费用表09!K93+合并销售费用12!K93+合并财务费用13!J13)/10000</f>
        <v>0</v>
      </c>
      <c r="J32" s="341">
        <f ca="1">J30-(合并管理费用表09!L93+合并销售费用12!L93+合并财务费用13!K13)/10000</f>
        <v>0</v>
      </c>
      <c r="K32" s="341">
        <f ca="1">K30-(合并管理费用表09!M93+合并销售费用12!M93+合并财务费用13!L13)/10000</f>
        <v>0</v>
      </c>
      <c r="L32" s="341">
        <f ca="1">L30-(合并管理费用表09!N93+合并销售费用12!N93+合并财务费用13!M13)/10000</f>
        <v>0</v>
      </c>
      <c r="M32" s="341">
        <f ca="1">M30-(合并管理费用表09!O93+合并销售费用12!O93+合并财务费用13!N13)/10000</f>
        <v>0</v>
      </c>
      <c r="N32" s="341">
        <f ca="1">N30-(合并管理费用表09!P93+合并销售费用12!P93+合并财务费用13!O13)/10000</f>
        <v>0</v>
      </c>
      <c r="O32" s="354"/>
    </row>
    <row r="33" spans="2:14">
      <c r="B33" s="342"/>
      <c r="C33" s="342"/>
      <c r="D33" s="342"/>
      <c r="E33" s="342"/>
      <c r="F33" s="342"/>
      <c r="G33" s="342"/>
      <c r="H33" s="342"/>
      <c r="I33" s="342"/>
      <c r="J33" s="342"/>
      <c r="K33" s="342"/>
      <c r="L33" s="342"/>
      <c r="M33" s="342"/>
      <c r="N33" s="342"/>
    </row>
    <row r="34" spans="2:14">
      <c r="B34" s="342"/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342"/>
      <c r="N34" s="342"/>
    </row>
    <row r="35" ht="28" customHeight="1" spans="1:15">
      <c r="A35" s="343" t="s">
        <v>44</v>
      </c>
      <c r="B35" s="343"/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3"/>
      <c r="O35" s="356" t="s">
        <v>10</v>
      </c>
    </row>
    <row r="36" spans="1:15">
      <c r="A36" s="344" t="s">
        <v>11</v>
      </c>
      <c r="B36" s="345">
        <v>43831</v>
      </c>
      <c r="C36" s="345">
        <v>43862</v>
      </c>
      <c r="D36" s="345">
        <v>43891</v>
      </c>
      <c r="E36" s="345">
        <v>43922</v>
      </c>
      <c r="F36" s="345">
        <v>43952</v>
      </c>
      <c r="G36" s="345">
        <v>43983</v>
      </c>
      <c r="H36" s="345">
        <v>44013</v>
      </c>
      <c r="I36" s="345">
        <v>44044</v>
      </c>
      <c r="J36" s="345">
        <v>44075</v>
      </c>
      <c r="K36" s="345">
        <v>44105</v>
      </c>
      <c r="L36" s="345">
        <v>44136</v>
      </c>
      <c r="M36" s="345">
        <v>44166</v>
      </c>
      <c r="N36" s="357" t="s">
        <v>12</v>
      </c>
      <c r="O36" s="358" t="s">
        <v>13</v>
      </c>
    </row>
    <row r="37" hidden="1" spans="1:15">
      <c r="A37" s="344" t="s">
        <v>45</v>
      </c>
      <c r="B37" s="345" t="s">
        <v>46</v>
      </c>
      <c r="C37" s="345" t="s">
        <v>47</v>
      </c>
      <c r="D37" s="345" t="s">
        <v>48</v>
      </c>
      <c r="E37" s="345" t="s">
        <v>49</v>
      </c>
      <c r="F37" s="345" t="s">
        <v>50</v>
      </c>
      <c r="G37" s="345" t="s">
        <v>51</v>
      </c>
      <c r="H37" s="345" t="s">
        <v>52</v>
      </c>
      <c r="I37" s="345" t="s">
        <v>53</v>
      </c>
      <c r="J37" s="345" t="s">
        <v>54</v>
      </c>
      <c r="K37" s="345" t="s">
        <v>55</v>
      </c>
      <c r="L37" s="345" t="s">
        <v>56</v>
      </c>
      <c r="M37" s="345" t="s">
        <v>57</v>
      </c>
      <c r="N37" s="345" t="s">
        <v>58</v>
      </c>
      <c r="O37" s="358"/>
    </row>
    <row r="38" spans="1:15">
      <c r="A38" s="344" t="s">
        <v>14</v>
      </c>
      <c r="B38" s="346">
        <f ca="1">IFERROR(INDIRECT("'G-"&amp;$A38&amp;"'"&amp;"!"&amp;B$37&amp;"93")/10000,"")</f>
        <v>776.994411</v>
      </c>
      <c r="C38" s="346">
        <f ca="1" t="shared" ref="C38:N38" si="18">IFERROR(INDIRECT("'G-"&amp;$A38&amp;"'"&amp;"!"&amp;C$37&amp;"93")/10000,"")</f>
        <v>707.713401</v>
      </c>
      <c r="D38" s="346">
        <f ca="1" t="shared" si="18"/>
        <v>923.748795</v>
      </c>
      <c r="E38" s="346">
        <f ca="1" t="shared" si="18"/>
        <v>1008.325416</v>
      </c>
      <c r="F38" s="346">
        <f ca="1" t="shared" si="18"/>
        <v>0</v>
      </c>
      <c r="G38" s="346">
        <f ca="1" t="shared" si="18"/>
        <v>0</v>
      </c>
      <c r="H38" s="346">
        <f ca="1" t="shared" si="18"/>
        <v>0</v>
      </c>
      <c r="I38" s="346">
        <f ca="1" t="shared" si="18"/>
        <v>0</v>
      </c>
      <c r="J38" s="346">
        <f ca="1" t="shared" si="18"/>
        <v>0</v>
      </c>
      <c r="K38" s="346">
        <f ca="1" t="shared" si="18"/>
        <v>0</v>
      </c>
      <c r="L38" s="346">
        <f ca="1" t="shared" si="18"/>
        <v>0</v>
      </c>
      <c r="M38" s="346">
        <f ca="1" t="shared" si="18"/>
        <v>0</v>
      </c>
      <c r="N38" s="346">
        <f ca="1" t="shared" si="18"/>
        <v>3416.782023</v>
      </c>
      <c r="O38" s="359">
        <f ca="1">IFERROR(SUM(B38:M38)-N38,"")</f>
        <v>0</v>
      </c>
    </row>
    <row r="39" spans="1:15">
      <c r="A39" s="344" t="s">
        <v>15</v>
      </c>
      <c r="B39" s="346">
        <f ca="1" t="shared" ref="B39:B60" si="19">IFERROR(INDIRECT("'G-"&amp;$A39&amp;"'"&amp;"!"&amp;B$37&amp;"93")/10000,"")</f>
        <v>22.737394</v>
      </c>
      <c r="C39" s="346">
        <f ca="1" t="shared" ref="C39:C60" si="20">IFERROR(INDIRECT("'G-"&amp;$A39&amp;"'"&amp;"!"&amp;C$37&amp;"93")/10000,"")</f>
        <v>-15.263318</v>
      </c>
      <c r="D39" s="346">
        <f ca="1" t="shared" ref="D39:D60" si="21">IFERROR(INDIRECT("'G-"&amp;$A39&amp;"'"&amp;"!"&amp;D$37&amp;"93")/10000,"")</f>
        <v>6.85851800000001</v>
      </c>
      <c r="E39" s="346">
        <f ca="1" t="shared" ref="E39:E60" si="22">IFERROR(INDIRECT("'G-"&amp;$A39&amp;"'"&amp;"!"&amp;E$37&amp;"93")/10000,"")</f>
        <v>7.98317099999998</v>
      </c>
      <c r="F39" s="346">
        <f ca="1" t="shared" ref="F39:F60" si="23">IFERROR(INDIRECT("'G-"&amp;$A39&amp;"'"&amp;"!"&amp;F$37&amp;"93")/10000,"")</f>
        <v>0</v>
      </c>
      <c r="G39" s="346">
        <f ca="1" t="shared" ref="G39:G60" si="24">IFERROR(INDIRECT("'G-"&amp;$A39&amp;"'"&amp;"!"&amp;G$37&amp;"93")/10000,"")</f>
        <v>0</v>
      </c>
      <c r="H39" s="346">
        <f ca="1" t="shared" ref="H39:H60" si="25">IFERROR(INDIRECT("'G-"&amp;$A39&amp;"'"&amp;"!"&amp;H$37&amp;"93")/10000,"")</f>
        <v>0</v>
      </c>
      <c r="I39" s="346">
        <f ca="1" t="shared" ref="I39:I60" si="26">IFERROR(INDIRECT("'G-"&amp;$A39&amp;"'"&amp;"!"&amp;I$37&amp;"93")/10000,"")</f>
        <v>0</v>
      </c>
      <c r="J39" s="346">
        <f ca="1" t="shared" ref="J39:J60" si="27">IFERROR(INDIRECT("'G-"&amp;$A39&amp;"'"&amp;"!"&amp;J$37&amp;"93")/10000,"")</f>
        <v>0</v>
      </c>
      <c r="K39" s="346">
        <f ca="1" t="shared" ref="K39:K60" si="28">IFERROR(INDIRECT("'G-"&amp;$A39&amp;"'"&amp;"!"&amp;K$37&amp;"93")/10000,"")</f>
        <v>0</v>
      </c>
      <c r="L39" s="346">
        <f ca="1" t="shared" ref="L39:L60" si="29">IFERROR(INDIRECT("'G-"&amp;$A39&amp;"'"&amp;"!"&amp;L$37&amp;"93")/10000,"")</f>
        <v>0</v>
      </c>
      <c r="M39" s="346">
        <f ca="1" t="shared" ref="M39:M60" si="30">IFERROR(INDIRECT("'G-"&amp;$A39&amp;"'"&amp;"!"&amp;M$37&amp;"93")/10000,"")</f>
        <v>0</v>
      </c>
      <c r="N39" s="346">
        <f ca="1" t="shared" ref="N39:N60" si="31">IFERROR(INDIRECT("'G-"&amp;$A39&amp;"'"&amp;"!"&amp;N$37&amp;"93")/10000,"")</f>
        <v>22.315765</v>
      </c>
      <c r="O39" s="359">
        <f ca="1" t="shared" ref="O39:O61" si="32">IFERROR(SUM(B39:M39)-N39,"")</f>
        <v>0</v>
      </c>
    </row>
    <row r="40" spans="1:15">
      <c r="A40" s="344" t="s">
        <v>16</v>
      </c>
      <c r="B40" s="346">
        <f ca="1" t="shared" si="19"/>
        <v>47.591681</v>
      </c>
      <c r="C40" s="346">
        <f ca="1" t="shared" si="20"/>
        <v>38.611984</v>
      </c>
      <c r="D40" s="346">
        <f ca="1" t="shared" si="21"/>
        <v>44.844218</v>
      </c>
      <c r="E40" s="346">
        <f ca="1" t="shared" si="22"/>
        <v>57.5185</v>
      </c>
      <c r="F40" s="346">
        <f ca="1" t="shared" si="23"/>
        <v>0</v>
      </c>
      <c r="G40" s="346">
        <f ca="1" t="shared" si="24"/>
        <v>0</v>
      </c>
      <c r="H40" s="346">
        <f ca="1" t="shared" si="25"/>
        <v>0</v>
      </c>
      <c r="I40" s="346">
        <f ca="1" t="shared" si="26"/>
        <v>0</v>
      </c>
      <c r="J40" s="346">
        <f ca="1" t="shared" si="27"/>
        <v>0</v>
      </c>
      <c r="K40" s="346">
        <f ca="1" t="shared" si="28"/>
        <v>0</v>
      </c>
      <c r="L40" s="346">
        <f ca="1" t="shared" si="29"/>
        <v>0</v>
      </c>
      <c r="M40" s="346">
        <f ca="1" t="shared" si="30"/>
        <v>0</v>
      </c>
      <c r="N40" s="346">
        <f ca="1" t="shared" si="31"/>
        <v>188.566383</v>
      </c>
      <c r="O40" s="359">
        <f ca="1" t="shared" si="32"/>
        <v>0</v>
      </c>
    </row>
    <row r="41" spans="1:15">
      <c r="A41" s="344" t="s">
        <v>17</v>
      </c>
      <c r="B41" s="346">
        <f ca="1" t="shared" si="19"/>
        <v>63.408346</v>
      </c>
      <c r="C41" s="346">
        <f ca="1" t="shared" si="20"/>
        <v>62.002736</v>
      </c>
      <c r="D41" s="346">
        <f ca="1" t="shared" si="21"/>
        <v>75.115303</v>
      </c>
      <c r="E41" s="346">
        <f ca="1" t="shared" si="22"/>
        <v>71.331345</v>
      </c>
      <c r="F41" s="346">
        <f ca="1" t="shared" si="23"/>
        <v>0</v>
      </c>
      <c r="G41" s="346">
        <f ca="1" t="shared" si="24"/>
        <v>0</v>
      </c>
      <c r="H41" s="346">
        <f ca="1" t="shared" si="25"/>
        <v>0</v>
      </c>
      <c r="I41" s="346">
        <f ca="1" t="shared" si="26"/>
        <v>0</v>
      </c>
      <c r="J41" s="346">
        <f ca="1" t="shared" si="27"/>
        <v>0</v>
      </c>
      <c r="K41" s="346">
        <f ca="1" t="shared" si="28"/>
        <v>0</v>
      </c>
      <c r="L41" s="346">
        <f ca="1" t="shared" si="29"/>
        <v>0</v>
      </c>
      <c r="M41" s="346">
        <f ca="1" t="shared" si="30"/>
        <v>0</v>
      </c>
      <c r="N41" s="346">
        <f ca="1" t="shared" si="31"/>
        <v>271.85773</v>
      </c>
      <c r="O41" s="359">
        <f ca="1" t="shared" si="32"/>
        <v>0</v>
      </c>
    </row>
    <row r="42" spans="1:15">
      <c r="A42" s="344" t="s">
        <v>18</v>
      </c>
      <c r="B42" s="346">
        <f ca="1" t="shared" si="19"/>
        <v>0</v>
      </c>
      <c r="C42" s="346">
        <f ca="1" t="shared" si="20"/>
        <v>0.55</v>
      </c>
      <c r="D42" s="346">
        <f ca="1" t="shared" si="21"/>
        <v>0</v>
      </c>
      <c r="E42" s="346">
        <f ca="1" t="shared" si="22"/>
        <v>-0.55</v>
      </c>
      <c r="F42" s="346">
        <f ca="1" t="shared" si="23"/>
        <v>0</v>
      </c>
      <c r="G42" s="346">
        <f ca="1" t="shared" si="24"/>
        <v>0</v>
      </c>
      <c r="H42" s="346">
        <f ca="1" t="shared" si="25"/>
        <v>0</v>
      </c>
      <c r="I42" s="346">
        <f ca="1" t="shared" si="26"/>
        <v>0</v>
      </c>
      <c r="J42" s="346">
        <f ca="1" t="shared" si="27"/>
        <v>0</v>
      </c>
      <c r="K42" s="346">
        <f ca="1" t="shared" si="28"/>
        <v>0</v>
      </c>
      <c r="L42" s="346">
        <f ca="1" t="shared" si="29"/>
        <v>0</v>
      </c>
      <c r="M42" s="346">
        <f ca="1" t="shared" si="30"/>
        <v>0</v>
      </c>
      <c r="N42" s="346">
        <f ca="1" t="shared" si="31"/>
        <v>0</v>
      </c>
      <c r="O42" s="359">
        <f ca="1" t="shared" si="32"/>
        <v>0</v>
      </c>
    </row>
    <row r="43" spans="1:15">
      <c r="A43" s="344" t="s">
        <v>19</v>
      </c>
      <c r="B43" s="346">
        <f ca="1" t="shared" si="19"/>
        <v>1.155757</v>
      </c>
      <c r="C43" s="346">
        <f ca="1" t="shared" si="20"/>
        <v>1.855421</v>
      </c>
      <c r="D43" s="346">
        <f ca="1" t="shared" si="21"/>
        <v>1.734133</v>
      </c>
      <c r="E43" s="346">
        <f ca="1" t="shared" si="22"/>
        <v>1.709777</v>
      </c>
      <c r="F43" s="346">
        <f ca="1" t="shared" si="23"/>
        <v>0</v>
      </c>
      <c r="G43" s="346">
        <f ca="1" t="shared" si="24"/>
        <v>0</v>
      </c>
      <c r="H43" s="346">
        <f ca="1" t="shared" si="25"/>
        <v>0</v>
      </c>
      <c r="I43" s="346">
        <f ca="1" t="shared" si="26"/>
        <v>0</v>
      </c>
      <c r="J43" s="346">
        <f ca="1" t="shared" si="27"/>
        <v>0</v>
      </c>
      <c r="K43" s="346">
        <f ca="1" t="shared" si="28"/>
        <v>0</v>
      </c>
      <c r="L43" s="346">
        <f ca="1" t="shared" si="29"/>
        <v>0</v>
      </c>
      <c r="M43" s="346">
        <f ca="1" t="shared" si="30"/>
        <v>0</v>
      </c>
      <c r="N43" s="346">
        <f ca="1" t="shared" si="31"/>
        <v>6.455088</v>
      </c>
      <c r="O43" s="359">
        <f ca="1" t="shared" si="32"/>
        <v>0</v>
      </c>
    </row>
    <row r="44" spans="1:15">
      <c r="A44" s="344" t="s">
        <v>20</v>
      </c>
      <c r="B44" s="346">
        <f ca="1" t="shared" si="19"/>
        <v>2.875159</v>
      </c>
      <c r="C44" s="346">
        <f ca="1" t="shared" si="20"/>
        <v>4.342809</v>
      </c>
      <c r="D44" s="346">
        <f ca="1" t="shared" si="21"/>
        <v>4.521159</v>
      </c>
      <c r="E44" s="346">
        <f ca="1" t="shared" si="22"/>
        <v>2.873159</v>
      </c>
      <c r="F44" s="346">
        <f ca="1" t="shared" si="23"/>
        <v>0</v>
      </c>
      <c r="G44" s="346">
        <f ca="1" t="shared" si="24"/>
        <v>0</v>
      </c>
      <c r="H44" s="346">
        <f ca="1" t="shared" si="25"/>
        <v>0</v>
      </c>
      <c r="I44" s="346">
        <f ca="1" t="shared" si="26"/>
        <v>0</v>
      </c>
      <c r="J44" s="346">
        <f ca="1" t="shared" si="27"/>
        <v>0</v>
      </c>
      <c r="K44" s="346">
        <f ca="1" t="shared" si="28"/>
        <v>0</v>
      </c>
      <c r="L44" s="346">
        <f ca="1" t="shared" si="29"/>
        <v>0</v>
      </c>
      <c r="M44" s="346">
        <f ca="1" t="shared" si="30"/>
        <v>0</v>
      </c>
      <c r="N44" s="346">
        <f ca="1" t="shared" si="31"/>
        <v>14.612286</v>
      </c>
      <c r="O44" s="359">
        <f ca="1" t="shared" si="32"/>
        <v>0</v>
      </c>
    </row>
    <row r="45" spans="1:15">
      <c r="A45" s="344" t="s">
        <v>21</v>
      </c>
      <c r="B45" s="346">
        <f ca="1" t="shared" si="19"/>
        <v>2.604739</v>
      </c>
      <c r="C45" s="346">
        <f ca="1" t="shared" si="20"/>
        <v>2.125816</v>
      </c>
      <c r="D45" s="346">
        <f ca="1" t="shared" si="21"/>
        <v>1.593071</v>
      </c>
      <c r="E45" s="346">
        <f ca="1" t="shared" si="22"/>
        <v>-2.634218</v>
      </c>
      <c r="F45" s="346">
        <f ca="1" t="shared" si="23"/>
        <v>0</v>
      </c>
      <c r="G45" s="346">
        <f ca="1" t="shared" si="24"/>
        <v>0</v>
      </c>
      <c r="H45" s="346">
        <f ca="1" t="shared" si="25"/>
        <v>0</v>
      </c>
      <c r="I45" s="346">
        <f ca="1" t="shared" si="26"/>
        <v>0</v>
      </c>
      <c r="J45" s="346">
        <f ca="1" t="shared" si="27"/>
        <v>0</v>
      </c>
      <c r="K45" s="346">
        <f ca="1" t="shared" si="28"/>
        <v>0</v>
      </c>
      <c r="L45" s="346">
        <f ca="1" t="shared" si="29"/>
        <v>0</v>
      </c>
      <c r="M45" s="346">
        <f ca="1" t="shared" si="30"/>
        <v>0</v>
      </c>
      <c r="N45" s="346">
        <f ca="1" t="shared" si="31"/>
        <v>3.689408</v>
      </c>
      <c r="O45" s="359">
        <f ca="1" t="shared" si="32"/>
        <v>0</v>
      </c>
    </row>
    <row r="46" spans="1:15">
      <c r="A46" s="344" t="s">
        <v>22</v>
      </c>
      <c r="B46" s="346">
        <f ca="1" t="shared" si="19"/>
        <v>43.781003</v>
      </c>
      <c r="C46" s="346">
        <f ca="1" t="shared" si="20"/>
        <v>33.124021</v>
      </c>
      <c r="D46" s="346">
        <f ca="1" t="shared" si="21"/>
        <v>36.660411</v>
      </c>
      <c r="E46" s="346">
        <f ca="1" t="shared" si="22"/>
        <v>39.917803</v>
      </c>
      <c r="F46" s="346">
        <f ca="1" t="shared" si="23"/>
        <v>0</v>
      </c>
      <c r="G46" s="346">
        <f ca="1" t="shared" si="24"/>
        <v>0</v>
      </c>
      <c r="H46" s="346">
        <f ca="1" t="shared" si="25"/>
        <v>0</v>
      </c>
      <c r="I46" s="346">
        <f ca="1" t="shared" si="26"/>
        <v>0</v>
      </c>
      <c r="J46" s="346">
        <f ca="1" t="shared" si="27"/>
        <v>0</v>
      </c>
      <c r="K46" s="346">
        <f ca="1" t="shared" si="28"/>
        <v>0</v>
      </c>
      <c r="L46" s="346">
        <f ca="1" t="shared" si="29"/>
        <v>0</v>
      </c>
      <c r="M46" s="346">
        <f ca="1" t="shared" si="30"/>
        <v>0</v>
      </c>
      <c r="N46" s="346">
        <f ca="1" t="shared" si="31"/>
        <v>153.483238</v>
      </c>
      <c r="O46" s="359">
        <f ca="1" t="shared" si="32"/>
        <v>0</v>
      </c>
    </row>
    <row r="47" spans="1:15">
      <c r="A47" s="344" t="s">
        <v>23</v>
      </c>
      <c r="B47" s="346">
        <f ca="1" t="shared" si="19"/>
        <v>75.12286</v>
      </c>
      <c r="C47" s="346">
        <f ca="1" t="shared" si="20"/>
        <v>128.958734</v>
      </c>
      <c r="D47" s="346">
        <f ca="1" t="shared" si="21"/>
        <v>148.989033</v>
      </c>
      <c r="E47" s="346">
        <f ca="1" t="shared" si="22"/>
        <v>142.859992</v>
      </c>
      <c r="F47" s="346">
        <f ca="1" t="shared" si="23"/>
        <v>0</v>
      </c>
      <c r="G47" s="346">
        <f ca="1" t="shared" si="24"/>
        <v>0</v>
      </c>
      <c r="H47" s="346">
        <f ca="1" t="shared" si="25"/>
        <v>0</v>
      </c>
      <c r="I47" s="346">
        <f ca="1" t="shared" si="26"/>
        <v>0</v>
      </c>
      <c r="J47" s="346">
        <f ca="1" t="shared" si="27"/>
        <v>0</v>
      </c>
      <c r="K47" s="346">
        <f ca="1" t="shared" si="28"/>
        <v>0</v>
      </c>
      <c r="L47" s="346">
        <f ca="1" t="shared" si="29"/>
        <v>0</v>
      </c>
      <c r="M47" s="346">
        <f ca="1" t="shared" si="30"/>
        <v>0</v>
      </c>
      <c r="N47" s="346">
        <f ca="1" t="shared" si="31"/>
        <v>495.930619</v>
      </c>
      <c r="O47" s="359">
        <f ca="1" t="shared" si="32"/>
        <v>0</v>
      </c>
    </row>
    <row r="48" spans="1:15">
      <c r="A48" s="344" t="s">
        <v>24</v>
      </c>
      <c r="B48" s="346">
        <f ca="1" t="shared" si="19"/>
        <v>7.717802</v>
      </c>
      <c r="C48" s="346">
        <f ca="1" t="shared" si="20"/>
        <v>10.03253</v>
      </c>
      <c r="D48" s="346">
        <f ca="1" t="shared" si="21"/>
        <v>8.098178</v>
      </c>
      <c r="E48" s="346">
        <f ca="1" t="shared" si="22"/>
        <v>8.741226</v>
      </c>
      <c r="F48" s="346">
        <f ca="1" t="shared" si="23"/>
        <v>0</v>
      </c>
      <c r="G48" s="346">
        <f ca="1" t="shared" si="24"/>
        <v>0</v>
      </c>
      <c r="H48" s="346">
        <f ca="1" t="shared" si="25"/>
        <v>0</v>
      </c>
      <c r="I48" s="346">
        <f ca="1" t="shared" si="26"/>
        <v>0</v>
      </c>
      <c r="J48" s="346">
        <f ca="1" t="shared" si="27"/>
        <v>0</v>
      </c>
      <c r="K48" s="346">
        <f ca="1" t="shared" si="28"/>
        <v>0</v>
      </c>
      <c r="L48" s="346">
        <f ca="1" t="shared" si="29"/>
        <v>0</v>
      </c>
      <c r="M48" s="346">
        <f ca="1" t="shared" si="30"/>
        <v>0</v>
      </c>
      <c r="N48" s="346">
        <f ca="1" t="shared" si="31"/>
        <v>34.589736</v>
      </c>
      <c r="O48" s="359">
        <f ca="1" t="shared" si="32"/>
        <v>0</v>
      </c>
    </row>
    <row r="49" spans="1:15">
      <c r="A49" s="344" t="s">
        <v>25</v>
      </c>
      <c r="B49" s="346">
        <f ca="1" t="shared" si="19"/>
        <v>12.88872</v>
      </c>
      <c r="C49" s="346">
        <f ca="1" t="shared" si="20"/>
        <v>12.374393</v>
      </c>
      <c r="D49" s="346">
        <f ca="1" t="shared" si="21"/>
        <v>11.897873</v>
      </c>
      <c r="E49" s="346">
        <f ca="1" t="shared" si="22"/>
        <v>11.295268</v>
      </c>
      <c r="F49" s="346">
        <f ca="1" t="shared" si="23"/>
        <v>0</v>
      </c>
      <c r="G49" s="346">
        <f ca="1" t="shared" si="24"/>
        <v>0</v>
      </c>
      <c r="H49" s="346">
        <f ca="1" t="shared" si="25"/>
        <v>0</v>
      </c>
      <c r="I49" s="346">
        <f ca="1" t="shared" si="26"/>
        <v>0</v>
      </c>
      <c r="J49" s="346">
        <f ca="1" t="shared" si="27"/>
        <v>0</v>
      </c>
      <c r="K49" s="346">
        <f ca="1" t="shared" si="28"/>
        <v>0</v>
      </c>
      <c r="L49" s="346">
        <f ca="1" t="shared" si="29"/>
        <v>0</v>
      </c>
      <c r="M49" s="346">
        <f ca="1" t="shared" si="30"/>
        <v>0</v>
      </c>
      <c r="N49" s="346">
        <f ca="1" t="shared" si="31"/>
        <v>48.456254</v>
      </c>
      <c r="O49" s="359">
        <f ca="1" t="shared" si="32"/>
        <v>0</v>
      </c>
    </row>
    <row r="50" spans="1:15">
      <c r="A50" s="344" t="s">
        <v>26</v>
      </c>
      <c r="B50" s="346">
        <f ca="1" t="shared" si="19"/>
        <v>713.111111</v>
      </c>
      <c r="C50" s="346">
        <f ca="1" t="shared" si="20"/>
        <v>769.154277</v>
      </c>
      <c r="D50" s="346">
        <f ca="1" t="shared" si="21"/>
        <v>1098.909684</v>
      </c>
      <c r="E50" s="346">
        <f ca="1" t="shared" si="22"/>
        <v>1524.289455</v>
      </c>
      <c r="F50" s="346">
        <f ca="1" t="shared" si="23"/>
        <v>0.0425379771</v>
      </c>
      <c r="G50" s="346">
        <f ca="1" t="shared" si="24"/>
        <v>0</v>
      </c>
      <c r="H50" s="346">
        <f ca="1" t="shared" si="25"/>
        <v>0</v>
      </c>
      <c r="I50" s="346">
        <f ca="1" t="shared" si="26"/>
        <v>0</v>
      </c>
      <c r="J50" s="346">
        <f ca="1" t="shared" si="27"/>
        <v>0</v>
      </c>
      <c r="K50" s="346">
        <f ca="1" t="shared" si="28"/>
        <v>0</v>
      </c>
      <c r="L50" s="346">
        <f ca="1" t="shared" si="29"/>
        <v>0</v>
      </c>
      <c r="M50" s="346">
        <f ca="1" t="shared" si="30"/>
        <v>0</v>
      </c>
      <c r="N50" s="346">
        <f ca="1" t="shared" si="31"/>
        <v>4105.5070649771</v>
      </c>
      <c r="O50" s="359">
        <f ca="1" t="shared" si="32"/>
        <v>0</v>
      </c>
    </row>
    <row r="51" spans="1:15">
      <c r="A51" s="344" t="s">
        <v>27</v>
      </c>
      <c r="B51" s="346">
        <f ca="1" t="shared" si="19"/>
        <v>88.113329</v>
      </c>
      <c r="C51" s="346">
        <f ca="1" t="shared" si="20"/>
        <v>383.178793</v>
      </c>
      <c r="D51" s="346">
        <f ca="1" t="shared" si="21"/>
        <v>511.586651</v>
      </c>
      <c r="E51" s="346">
        <f ca="1" t="shared" si="22"/>
        <v>460.344502</v>
      </c>
      <c r="F51" s="346">
        <f ca="1" t="shared" si="23"/>
        <v>0</v>
      </c>
      <c r="G51" s="346">
        <f ca="1" t="shared" si="24"/>
        <v>0</v>
      </c>
      <c r="H51" s="346">
        <f ca="1" t="shared" si="25"/>
        <v>0</v>
      </c>
      <c r="I51" s="346">
        <f ca="1" t="shared" si="26"/>
        <v>0</v>
      </c>
      <c r="J51" s="346">
        <f ca="1" t="shared" si="27"/>
        <v>0</v>
      </c>
      <c r="K51" s="346">
        <f ca="1" t="shared" si="28"/>
        <v>0</v>
      </c>
      <c r="L51" s="346">
        <f ca="1" t="shared" si="29"/>
        <v>0</v>
      </c>
      <c r="M51" s="346">
        <f ca="1" t="shared" si="30"/>
        <v>0</v>
      </c>
      <c r="N51" s="346">
        <f ca="1" t="shared" si="31"/>
        <v>1443.223275</v>
      </c>
      <c r="O51" s="359">
        <f ca="1" t="shared" si="32"/>
        <v>0</v>
      </c>
    </row>
    <row r="52" spans="1:15">
      <c r="A52" s="344" t="s">
        <v>28</v>
      </c>
      <c r="B52" s="346">
        <f ca="1" t="shared" si="19"/>
        <v>29.670423</v>
      </c>
      <c r="C52" s="346">
        <f ca="1" t="shared" si="20"/>
        <v>23.066092</v>
      </c>
      <c r="D52" s="346">
        <f ca="1" t="shared" si="21"/>
        <v>30.749831</v>
      </c>
      <c r="E52" s="346">
        <f ca="1" t="shared" si="22"/>
        <v>39.637641</v>
      </c>
      <c r="F52" s="346">
        <f ca="1" t="shared" si="23"/>
        <v>0</v>
      </c>
      <c r="G52" s="346">
        <f ca="1" t="shared" si="24"/>
        <v>0</v>
      </c>
      <c r="H52" s="346">
        <f ca="1" t="shared" si="25"/>
        <v>0</v>
      </c>
      <c r="I52" s="346">
        <f ca="1" t="shared" si="26"/>
        <v>0</v>
      </c>
      <c r="J52" s="346">
        <f ca="1" t="shared" si="27"/>
        <v>0</v>
      </c>
      <c r="K52" s="346">
        <f ca="1" t="shared" si="28"/>
        <v>0</v>
      </c>
      <c r="L52" s="346">
        <f ca="1" t="shared" si="29"/>
        <v>0</v>
      </c>
      <c r="M52" s="346">
        <f ca="1" t="shared" si="30"/>
        <v>0</v>
      </c>
      <c r="N52" s="346">
        <f ca="1" t="shared" si="31"/>
        <v>123.123987</v>
      </c>
      <c r="O52" s="359">
        <f ca="1" t="shared" si="32"/>
        <v>0</v>
      </c>
    </row>
    <row r="53" spans="1:15">
      <c r="A53" s="344" t="s">
        <v>29</v>
      </c>
      <c r="B53" s="346">
        <f ca="1" t="shared" si="19"/>
        <v>1.69197</v>
      </c>
      <c r="C53" s="346">
        <f ca="1" t="shared" si="20"/>
        <v>3.034322</v>
      </c>
      <c r="D53" s="346">
        <f ca="1" t="shared" si="21"/>
        <v>2.377822</v>
      </c>
      <c r="E53" s="346">
        <f ca="1" t="shared" si="22"/>
        <v>2.52372</v>
      </c>
      <c r="F53" s="346">
        <f ca="1" t="shared" si="23"/>
        <v>0</v>
      </c>
      <c r="G53" s="346">
        <f ca="1" t="shared" si="24"/>
        <v>0</v>
      </c>
      <c r="H53" s="346">
        <f ca="1" t="shared" si="25"/>
        <v>0</v>
      </c>
      <c r="I53" s="346">
        <f ca="1" t="shared" si="26"/>
        <v>0</v>
      </c>
      <c r="J53" s="346">
        <f ca="1" t="shared" si="27"/>
        <v>0</v>
      </c>
      <c r="K53" s="346">
        <f ca="1" t="shared" si="28"/>
        <v>0</v>
      </c>
      <c r="L53" s="346">
        <f ca="1" t="shared" si="29"/>
        <v>0</v>
      </c>
      <c r="M53" s="346">
        <f ca="1" t="shared" si="30"/>
        <v>0</v>
      </c>
      <c r="N53" s="346">
        <f ca="1" t="shared" si="31"/>
        <v>9.627834</v>
      </c>
      <c r="O53" s="359">
        <f ca="1" t="shared" si="32"/>
        <v>0</v>
      </c>
    </row>
    <row r="54" spans="1:15">
      <c r="A54" s="344" t="s">
        <v>30</v>
      </c>
      <c r="B54" s="346">
        <f ca="1" t="shared" si="19"/>
        <v>0</v>
      </c>
      <c r="C54" s="346">
        <f ca="1" t="shared" si="20"/>
        <v>0</v>
      </c>
      <c r="D54" s="346">
        <f ca="1" t="shared" si="21"/>
        <v>0</v>
      </c>
      <c r="E54" s="346">
        <f ca="1" t="shared" si="22"/>
        <v>0</v>
      </c>
      <c r="F54" s="346">
        <f ca="1" t="shared" si="23"/>
        <v>0</v>
      </c>
      <c r="G54" s="346">
        <f ca="1" t="shared" si="24"/>
        <v>0</v>
      </c>
      <c r="H54" s="346">
        <f ca="1" t="shared" si="25"/>
        <v>0</v>
      </c>
      <c r="I54" s="346">
        <f ca="1" t="shared" si="26"/>
        <v>0</v>
      </c>
      <c r="J54" s="346">
        <f ca="1" t="shared" si="27"/>
        <v>0</v>
      </c>
      <c r="K54" s="346">
        <f ca="1" t="shared" si="28"/>
        <v>0</v>
      </c>
      <c r="L54" s="346">
        <f ca="1" t="shared" si="29"/>
        <v>0</v>
      </c>
      <c r="M54" s="346">
        <f ca="1" t="shared" si="30"/>
        <v>0</v>
      </c>
      <c r="N54" s="346">
        <f ca="1" t="shared" si="31"/>
        <v>0</v>
      </c>
      <c r="O54" s="359">
        <f ca="1" t="shared" si="32"/>
        <v>0</v>
      </c>
    </row>
    <row r="55" spans="1:15">
      <c r="A55" s="344" t="s">
        <v>31</v>
      </c>
      <c r="B55" s="346">
        <f ca="1" t="shared" si="19"/>
        <v>0.35</v>
      </c>
      <c r="C55" s="346">
        <f ca="1" t="shared" si="20"/>
        <v>0</v>
      </c>
      <c r="D55" s="346">
        <f ca="1" t="shared" si="21"/>
        <v>0</v>
      </c>
      <c r="E55" s="346">
        <f ca="1" t="shared" si="22"/>
        <v>0</v>
      </c>
      <c r="F55" s="346">
        <f ca="1" t="shared" si="23"/>
        <v>0</v>
      </c>
      <c r="G55" s="346">
        <f ca="1" t="shared" si="24"/>
        <v>0</v>
      </c>
      <c r="H55" s="346">
        <f ca="1" t="shared" si="25"/>
        <v>0</v>
      </c>
      <c r="I55" s="346">
        <f ca="1" t="shared" si="26"/>
        <v>0</v>
      </c>
      <c r="J55" s="346">
        <f ca="1" t="shared" si="27"/>
        <v>0</v>
      </c>
      <c r="K55" s="346">
        <f ca="1" t="shared" si="28"/>
        <v>0</v>
      </c>
      <c r="L55" s="346">
        <f ca="1" t="shared" si="29"/>
        <v>0</v>
      </c>
      <c r="M55" s="346">
        <f ca="1" t="shared" si="30"/>
        <v>0</v>
      </c>
      <c r="N55" s="346">
        <f ca="1" t="shared" si="31"/>
        <v>0.35</v>
      </c>
      <c r="O55" s="359">
        <f ca="1" t="shared" si="32"/>
        <v>0</v>
      </c>
    </row>
    <row r="56" spans="1:15">
      <c r="A56" s="344" t="s">
        <v>32</v>
      </c>
      <c r="B56" s="346">
        <f ca="1" t="shared" si="19"/>
        <v>29.867165</v>
      </c>
      <c r="C56" s="346">
        <f ca="1" t="shared" si="20"/>
        <v>27.560456</v>
      </c>
      <c r="D56" s="346">
        <f ca="1" t="shared" si="21"/>
        <v>28.057243</v>
      </c>
      <c r="E56" s="346">
        <f ca="1" t="shared" si="22"/>
        <v>29.150502</v>
      </c>
      <c r="F56" s="346">
        <f ca="1" t="shared" si="23"/>
        <v>0</v>
      </c>
      <c r="G56" s="346">
        <f ca="1" t="shared" si="24"/>
        <v>0</v>
      </c>
      <c r="H56" s="346">
        <f ca="1" t="shared" si="25"/>
        <v>0</v>
      </c>
      <c r="I56" s="346">
        <f ca="1" t="shared" si="26"/>
        <v>0</v>
      </c>
      <c r="J56" s="346">
        <f ca="1" t="shared" si="27"/>
        <v>0</v>
      </c>
      <c r="K56" s="346">
        <f ca="1" t="shared" si="28"/>
        <v>0</v>
      </c>
      <c r="L56" s="346">
        <f ca="1" t="shared" si="29"/>
        <v>0</v>
      </c>
      <c r="M56" s="346">
        <f ca="1" t="shared" si="30"/>
        <v>0</v>
      </c>
      <c r="N56" s="346">
        <f ca="1" t="shared" si="31"/>
        <v>114.635366</v>
      </c>
      <c r="O56" s="359">
        <f ca="1" t="shared" si="32"/>
        <v>0</v>
      </c>
    </row>
    <row r="57" spans="1:15">
      <c r="A57" s="344" t="s">
        <v>33</v>
      </c>
      <c r="B57" s="346">
        <f ca="1" t="shared" si="19"/>
        <v>31.176018</v>
      </c>
      <c r="C57" s="346">
        <f ca="1" t="shared" si="20"/>
        <v>24.89208</v>
      </c>
      <c r="D57" s="346">
        <f ca="1" t="shared" si="21"/>
        <v>24.008853</v>
      </c>
      <c r="E57" s="346">
        <f ca="1" t="shared" si="22"/>
        <v>70.534125</v>
      </c>
      <c r="F57" s="346">
        <f ca="1" t="shared" si="23"/>
        <v>0</v>
      </c>
      <c r="G57" s="346">
        <f ca="1" t="shared" si="24"/>
        <v>0</v>
      </c>
      <c r="H57" s="346">
        <f ca="1" t="shared" si="25"/>
        <v>0</v>
      </c>
      <c r="I57" s="346">
        <f ca="1" t="shared" si="26"/>
        <v>0</v>
      </c>
      <c r="J57" s="346">
        <f ca="1" t="shared" si="27"/>
        <v>0</v>
      </c>
      <c r="K57" s="346">
        <f ca="1" t="shared" si="28"/>
        <v>0</v>
      </c>
      <c r="L57" s="346">
        <f ca="1" t="shared" si="29"/>
        <v>0</v>
      </c>
      <c r="M57" s="346">
        <f ca="1" t="shared" si="30"/>
        <v>0</v>
      </c>
      <c r="N57" s="346">
        <f ca="1" t="shared" si="31"/>
        <v>150.611076</v>
      </c>
      <c r="O57" s="359">
        <f ca="1" t="shared" si="32"/>
        <v>0</v>
      </c>
    </row>
    <row r="58" spans="1:15">
      <c r="A58" s="344" t="s">
        <v>34</v>
      </c>
      <c r="B58" s="346">
        <f ca="1" t="shared" si="19"/>
        <v>12.497321</v>
      </c>
      <c r="C58" s="346">
        <f ca="1" t="shared" si="20"/>
        <v>14.142301</v>
      </c>
      <c r="D58" s="346">
        <f ca="1" t="shared" si="21"/>
        <v>12.271339</v>
      </c>
      <c r="E58" s="346">
        <f ca="1" t="shared" si="22"/>
        <v>10.409143</v>
      </c>
      <c r="F58" s="346">
        <f ca="1" t="shared" si="23"/>
        <v>0</v>
      </c>
      <c r="G58" s="346">
        <f ca="1" t="shared" si="24"/>
        <v>0</v>
      </c>
      <c r="H58" s="346">
        <f ca="1" t="shared" si="25"/>
        <v>0</v>
      </c>
      <c r="I58" s="346">
        <f ca="1" t="shared" si="26"/>
        <v>0</v>
      </c>
      <c r="J58" s="346">
        <f ca="1" t="shared" si="27"/>
        <v>0</v>
      </c>
      <c r="K58" s="346">
        <f ca="1" t="shared" si="28"/>
        <v>0</v>
      </c>
      <c r="L58" s="346">
        <f ca="1" t="shared" si="29"/>
        <v>0</v>
      </c>
      <c r="M58" s="346">
        <f ca="1" t="shared" si="30"/>
        <v>0</v>
      </c>
      <c r="N58" s="346">
        <f ca="1" t="shared" si="31"/>
        <v>49.320104</v>
      </c>
      <c r="O58" s="359">
        <f ca="1" t="shared" si="32"/>
        <v>0</v>
      </c>
    </row>
    <row r="59" spans="1:15">
      <c r="A59" s="344" t="s">
        <v>35</v>
      </c>
      <c r="B59" s="346">
        <f ca="1" t="shared" si="19"/>
        <v>0</v>
      </c>
      <c r="C59" s="346">
        <f ca="1" t="shared" si="20"/>
        <v>0</v>
      </c>
      <c r="D59" s="346">
        <f ca="1" t="shared" si="21"/>
        <v>0</v>
      </c>
      <c r="E59" s="346">
        <f ca="1" t="shared" si="22"/>
        <v>0</v>
      </c>
      <c r="F59" s="346">
        <f ca="1" t="shared" si="23"/>
        <v>0</v>
      </c>
      <c r="G59" s="346">
        <f ca="1" t="shared" si="24"/>
        <v>0</v>
      </c>
      <c r="H59" s="346">
        <f ca="1" t="shared" si="25"/>
        <v>0</v>
      </c>
      <c r="I59" s="346">
        <f ca="1" t="shared" si="26"/>
        <v>0</v>
      </c>
      <c r="J59" s="346">
        <f ca="1" t="shared" si="27"/>
        <v>0</v>
      </c>
      <c r="K59" s="346">
        <f ca="1" t="shared" si="28"/>
        <v>0</v>
      </c>
      <c r="L59" s="346">
        <f ca="1" t="shared" si="29"/>
        <v>0</v>
      </c>
      <c r="M59" s="346">
        <f ca="1" t="shared" si="30"/>
        <v>0</v>
      </c>
      <c r="N59" s="346">
        <f ca="1" t="shared" si="31"/>
        <v>0</v>
      </c>
      <c r="O59" s="359">
        <f ca="1" t="shared" si="32"/>
        <v>0</v>
      </c>
    </row>
    <row r="60" spans="1:15">
      <c r="A60" s="344" t="s">
        <v>36</v>
      </c>
      <c r="B60" s="346">
        <f ca="1" t="shared" si="19"/>
        <v>0</v>
      </c>
      <c r="C60" s="346">
        <f ca="1" t="shared" si="20"/>
        <v>0</v>
      </c>
      <c r="D60" s="346">
        <f ca="1" t="shared" si="21"/>
        <v>18.329025</v>
      </c>
      <c r="E60" s="346">
        <f ca="1" t="shared" si="22"/>
        <v>9.083982</v>
      </c>
      <c r="F60" s="346">
        <f ca="1" t="shared" si="23"/>
        <v>0</v>
      </c>
      <c r="G60" s="346">
        <f ca="1" t="shared" si="24"/>
        <v>0</v>
      </c>
      <c r="H60" s="346">
        <f ca="1" t="shared" si="25"/>
        <v>0</v>
      </c>
      <c r="I60" s="346">
        <f ca="1" t="shared" si="26"/>
        <v>0</v>
      </c>
      <c r="J60" s="346">
        <f ca="1" t="shared" si="27"/>
        <v>0</v>
      </c>
      <c r="K60" s="346">
        <f ca="1" t="shared" si="28"/>
        <v>0</v>
      </c>
      <c r="L60" s="346">
        <f ca="1" t="shared" si="29"/>
        <v>0</v>
      </c>
      <c r="M60" s="346">
        <f ca="1" t="shared" si="30"/>
        <v>0</v>
      </c>
      <c r="N60" s="346">
        <f ca="1" t="shared" si="31"/>
        <v>27.413007</v>
      </c>
      <c r="O60" s="359">
        <f ca="1" t="shared" si="32"/>
        <v>0</v>
      </c>
    </row>
    <row r="61" s="333" customFormat="1" spans="1:15">
      <c r="A61" s="347" t="s">
        <v>12</v>
      </c>
      <c r="B61" s="346">
        <f ca="1">SUM(B38:B60)</f>
        <v>1963.355209</v>
      </c>
      <c r="C61" s="346">
        <f ca="1" t="shared" ref="C61:N61" si="33">SUM(C38:C60)</f>
        <v>2231.456848</v>
      </c>
      <c r="D61" s="346">
        <f ca="1" t="shared" si="33"/>
        <v>2990.35114</v>
      </c>
      <c r="E61" s="346">
        <f ca="1" t="shared" si="33"/>
        <v>3495.344509</v>
      </c>
      <c r="F61" s="346">
        <f ca="1" t="shared" si="33"/>
        <v>0.0425379771</v>
      </c>
      <c r="G61" s="346">
        <f ca="1" t="shared" si="33"/>
        <v>0</v>
      </c>
      <c r="H61" s="346">
        <f ca="1" t="shared" si="33"/>
        <v>0</v>
      </c>
      <c r="I61" s="346">
        <f ca="1" t="shared" si="33"/>
        <v>0</v>
      </c>
      <c r="J61" s="346">
        <f ca="1" t="shared" si="33"/>
        <v>0</v>
      </c>
      <c r="K61" s="346">
        <f ca="1" t="shared" si="33"/>
        <v>0</v>
      </c>
      <c r="L61" s="346">
        <f ca="1" t="shared" si="33"/>
        <v>0</v>
      </c>
      <c r="M61" s="346">
        <f ca="1" t="shared" si="33"/>
        <v>0</v>
      </c>
      <c r="N61" s="346">
        <f ca="1" t="shared" si="33"/>
        <v>10680.5502439771</v>
      </c>
      <c r="O61" s="359">
        <f ca="1" t="shared" si="32"/>
        <v>0</v>
      </c>
    </row>
    <row r="62" spans="1:15">
      <c r="A62" s="344"/>
      <c r="B62" s="348"/>
      <c r="C62" s="348"/>
      <c r="D62" s="348"/>
      <c r="E62" s="348"/>
      <c r="F62" s="348"/>
      <c r="G62" s="348"/>
      <c r="H62" s="348"/>
      <c r="I62" s="348"/>
      <c r="J62" s="348"/>
      <c r="K62" s="348"/>
      <c r="L62" s="348"/>
      <c r="M62" s="348"/>
      <c r="N62" s="348"/>
      <c r="O62" s="358"/>
    </row>
    <row r="63" spans="1:15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</row>
    <row r="64" ht="15" spans="1:15">
      <c r="A64" s="343" t="s">
        <v>59</v>
      </c>
      <c r="B64" s="343"/>
      <c r="C64" s="343"/>
      <c r="D64" s="343"/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56" t="s">
        <v>10</v>
      </c>
    </row>
    <row r="65" spans="1:15">
      <c r="A65" s="344" t="s">
        <v>11</v>
      </c>
      <c r="B65" s="345">
        <v>43831</v>
      </c>
      <c r="C65" s="345">
        <v>43862</v>
      </c>
      <c r="D65" s="345">
        <v>43891</v>
      </c>
      <c r="E65" s="345">
        <v>43922</v>
      </c>
      <c r="F65" s="345">
        <v>43952</v>
      </c>
      <c r="G65" s="345">
        <v>43983</v>
      </c>
      <c r="H65" s="345">
        <v>44013</v>
      </c>
      <c r="I65" s="345">
        <v>44044</v>
      </c>
      <c r="J65" s="345">
        <v>44075</v>
      </c>
      <c r="K65" s="345">
        <v>44105</v>
      </c>
      <c r="L65" s="345">
        <v>44136</v>
      </c>
      <c r="M65" s="345">
        <v>44166</v>
      </c>
      <c r="N65" s="357" t="s">
        <v>12</v>
      </c>
      <c r="O65" s="358" t="s">
        <v>13</v>
      </c>
    </row>
    <row r="66" spans="1:15">
      <c r="A66" s="344" t="s">
        <v>14</v>
      </c>
      <c r="B66" s="346">
        <f ca="1">IFERROR(INDIRECT("'X-"&amp;$A66&amp;"'"&amp;"!"&amp;B$37&amp;"93")/10000,"")</f>
        <v>367.216472</v>
      </c>
      <c r="C66" s="346">
        <f ca="1" t="shared" ref="C66:M66" si="34">IFERROR(INDIRECT("'X-"&amp;$A66&amp;"'"&amp;"!"&amp;C$37&amp;"93")/10000,"")</f>
        <v>245.803783</v>
      </c>
      <c r="D66" s="346">
        <f ca="1" t="shared" si="34"/>
        <v>952.067743</v>
      </c>
      <c r="E66" s="346">
        <f ca="1" t="shared" si="34"/>
        <v>717.939063</v>
      </c>
      <c r="F66" s="346">
        <f ca="1" t="shared" si="34"/>
        <v>0</v>
      </c>
      <c r="G66" s="346">
        <f ca="1" t="shared" si="34"/>
        <v>0</v>
      </c>
      <c r="H66" s="346">
        <f ca="1" t="shared" si="34"/>
        <v>0</v>
      </c>
      <c r="I66" s="346">
        <f ca="1" t="shared" si="34"/>
        <v>0</v>
      </c>
      <c r="J66" s="346">
        <f ca="1" t="shared" si="34"/>
        <v>0</v>
      </c>
      <c r="K66" s="346">
        <f ca="1" t="shared" si="34"/>
        <v>0</v>
      </c>
      <c r="L66" s="346">
        <f ca="1" t="shared" si="34"/>
        <v>0</v>
      </c>
      <c r="M66" s="346">
        <f ca="1" t="shared" si="34"/>
        <v>0</v>
      </c>
      <c r="N66" s="346">
        <f ca="1">IFERROR(INDIRECT("'X-"&amp;$A66&amp;"'"&amp;"!"&amp;N$37&amp;"93")/10000,"")</f>
        <v>2283.027061</v>
      </c>
      <c r="O66" s="359">
        <f ca="1">IFERROR(SUM(B66:M66)-N66,"")</f>
        <v>0</v>
      </c>
    </row>
    <row r="67" spans="1:15">
      <c r="A67" s="344" t="s">
        <v>15</v>
      </c>
      <c r="B67" s="346">
        <f ca="1">IFERROR(INDIRECT("'X-"&amp;$A67&amp;"'"&amp;"!"&amp;B$37&amp;"93")/10000,"")</f>
        <v>-3.285321</v>
      </c>
      <c r="C67" s="346">
        <f ca="1">IFERROR(INDIRECT("'X-"&amp;$A67&amp;"'"&amp;"!"&amp;C$37&amp;"93")/10000,"")</f>
        <v>-0.974209</v>
      </c>
      <c r="D67" s="346">
        <f ca="1">IFERROR(INDIRECT("'X-"&amp;$A67&amp;"'"&amp;"!"&amp;D$37&amp;"93")/10000,"")</f>
        <v>-0.0894</v>
      </c>
      <c r="E67" s="346">
        <f ca="1">IFERROR(INDIRECT("'X-"&amp;$A67&amp;"'"&amp;"!"&amp;E$37&amp;"93")/10000,"")</f>
        <v>0.114585</v>
      </c>
      <c r="F67" s="346">
        <f ca="1">IFERROR(INDIRECT("'X-"&amp;$A67&amp;"'"&amp;"!"&amp;F$37&amp;"93")/10000,"")</f>
        <v>0</v>
      </c>
      <c r="G67" s="346">
        <f ca="1">IFERROR(INDIRECT("'X-"&amp;$A67&amp;"'"&amp;"!"&amp;G$37&amp;"93")/10000,"")</f>
        <v>0</v>
      </c>
      <c r="H67" s="346">
        <f ca="1">IFERROR(INDIRECT("'X-"&amp;$A67&amp;"'"&amp;"!"&amp;H$37&amp;"93")/10000,"")</f>
        <v>0</v>
      </c>
      <c r="I67" s="346">
        <f ca="1">IFERROR(INDIRECT("'X-"&amp;$A67&amp;"'"&amp;"!"&amp;I$37&amp;"93")/10000,"")</f>
        <v>0</v>
      </c>
      <c r="J67" s="346">
        <f ca="1">IFERROR(INDIRECT("'X-"&amp;$A67&amp;"'"&amp;"!"&amp;J$37&amp;"93")/10000,"")</f>
        <v>0</v>
      </c>
      <c r="K67" s="346">
        <f ca="1">IFERROR(INDIRECT("'X-"&amp;$A67&amp;"'"&amp;"!"&amp;K$37&amp;"93")/10000,"")</f>
        <v>0</v>
      </c>
      <c r="L67" s="346">
        <f ca="1">IFERROR(INDIRECT("'X-"&amp;$A67&amp;"'"&amp;"!"&amp;L$37&amp;"93")/10000,"")</f>
        <v>0</v>
      </c>
      <c r="M67" s="346">
        <f ca="1">IFERROR(INDIRECT("'X-"&amp;$A67&amp;"'"&amp;"!"&amp;M$37&amp;"93")/10000,"")</f>
        <v>0</v>
      </c>
      <c r="N67" s="346">
        <f ca="1">IFERROR(INDIRECT("'X-"&amp;$A67&amp;"'"&amp;"!"&amp;N$37&amp;"93")/10000,"")</f>
        <v>-4.234345</v>
      </c>
      <c r="O67" s="359">
        <f ca="1" t="shared" ref="O67:O89" si="35">IFERROR(SUM(B67:M67)-N67,"")</f>
        <v>0</v>
      </c>
    </row>
    <row r="68" spans="1:15">
      <c r="A68" s="344" t="s">
        <v>16</v>
      </c>
      <c r="B68" s="346">
        <f ca="1">IFERROR(INDIRECT("'X-"&amp;$A68&amp;"'"&amp;"!"&amp;B$37&amp;"93")/10000,"")</f>
        <v>23.942463</v>
      </c>
      <c r="C68" s="346">
        <f ca="1">IFERROR(INDIRECT("'X-"&amp;$A68&amp;"'"&amp;"!"&amp;C$37&amp;"93")/10000,"")</f>
        <v>4.133601</v>
      </c>
      <c r="D68" s="346">
        <f ca="1">IFERROR(INDIRECT("'X-"&amp;$A68&amp;"'"&amp;"!"&amp;D$37&amp;"93")/10000,"")</f>
        <v>3.352035</v>
      </c>
      <c r="E68" s="346">
        <f ca="1">IFERROR(INDIRECT("'X-"&amp;$A68&amp;"'"&amp;"!"&amp;E$37&amp;"93")/10000,"")</f>
        <v>6.828033</v>
      </c>
      <c r="F68" s="346">
        <f ca="1">IFERROR(INDIRECT("'X-"&amp;$A68&amp;"'"&amp;"!"&amp;F$37&amp;"93")/10000,"")</f>
        <v>0</v>
      </c>
      <c r="G68" s="346">
        <f ca="1">IFERROR(INDIRECT("'X-"&amp;$A68&amp;"'"&amp;"!"&amp;G$37&amp;"93")/10000,"")</f>
        <v>0</v>
      </c>
      <c r="H68" s="346">
        <f ca="1">IFERROR(INDIRECT("'X-"&amp;$A68&amp;"'"&amp;"!"&amp;H$37&amp;"93")/10000,"")</f>
        <v>0</v>
      </c>
      <c r="I68" s="346">
        <f ca="1">IFERROR(INDIRECT("'X-"&amp;$A68&amp;"'"&amp;"!"&amp;I$37&amp;"93")/10000,"")</f>
        <v>0</v>
      </c>
      <c r="J68" s="346">
        <f ca="1">IFERROR(INDIRECT("'X-"&amp;$A68&amp;"'"&amp;"!"&amp;J$37&amp;"93")/10000,"")</f>
        <v>0</v>
      </c>
      <c r="K68" s="346">
        <f ca="1">IFERROR(INDIRECT("'X-"&amp;$A68&amp;"'"&amp;"!"&amp;K$37&amp;"93")/10000,"")</f>
        <v>0</v>
      </c>
      <c r="L68" s="346">
        <f ca="1">IFERROR(INDIRECT("'X-"&amp;$A68&amp;"'"&amp;"!"&amp;L$37&amp;"93")/10000,"")</f>
        <v>0</v>
      </c>
      <c r="M68" s="346">
        <f ca="1">IFERROR(INDIRECT("'X-"&amp;$A68&amp;"'"&amp;"!"&amp;M$37&amp;"93")/10000,"")</f>
        <v>0</v>
      </c>
      <c r="N68" s="346">
        <f ca="1">IFERROR(INDIRECT("'X-"&amp;$A68&amp;"'"&amp;"!"&amp;N$37&amp;"93")/10000,"")</f>
        <v>38.256132</v>
      </c>
      <c r="O68" s="359">
        <f ca="1" t="shared" si="35"/>
        <v>0</v>
      </c>
    </row>
    <row r="69" spans="1:15">
      <c r="A69" s="344" t="s">
        <v>17</v>
      </c>
      <c r="B69" s="346">
        <f ca="1" t="shared" ref="B69:B74" si="36">IFERROR(INDIRECT("'X-"&amp;$A69&amp;"'"&amp;"!"&amp;B$37&amp;"93")/10000,"")</f>
        <v>78.356948</v>
      </c>
      <c r="C69" s="346">
        <f ca="1">IFERROR(INDIRECT("'X-"&amp;$A69&amp;"'"&amp;"!"&amp;C$37&amp;"93")/10000,"")</f>
        <v>189.170326</v>
      </c>
      <c r="D69" s="346">
        <f ca="1">IFERROR(INDIRECT("'X-"&amp;$A69&amp;"'"&amp;"!"&amp;D$37&amp;"93")/10000,"")</f>
        <v>335.35163</v>
      </c>
      <c r="E69" s="346">
        <f ca="1">IFERROR(INDIRECT("'X-"&amp;$A69&amp;"'"&amp;"!"&amp;E$37&amp;"93")/10000,"")</f>
        <v>308.789772</v>
      </c>
      <c r="F69" s="346">
        <f ca="1">IFERROR(INDIRECT("'X-"&amp;$A69&amp;"'"&amp;"!"&amp;F$37&amp;"93")/10000,"")</f>
        <v>0</v>
      </c>
      <c r="G69" s="346">
        <f ca="1">IFERROR(INDIRECT("'X-"&amp;$A69&amp;"'"&amp;"!"&amp;G$37&amp;"93")/10000,"")</f>
        <v>0</v>
      </c>
      <c r="H69" s="346">
        <f ca="1">IFERROR(INDIRECT("'X-"&amp;$A69&amp;"'"&amp;"!"&amp;H$37&amp;"93")/10000,"")</f>
        <v>0</v>
      </c>
      <c r="I69" s="346">
        <f ca="1">IFERROR(INDIRECT("'X-"&amp;$A69&amp;"'"&amp;"!"&amp;I$37&amp;"93")/10000,"")</f>
        <v>0</v>
      </c>
      <c r="J69" s="346">
        <f ca="1">IFERROR(INDIRECT("'X-"&amp;$A69&amp;"'"&amp;"!"&amp;J$37&amp;"93")/10000,"")</f>
        <v>0</v>
      </c>
      <c r="K69" s="346">
        <f ca="1">IFERROR(INDIRECT("'X-"&amp;$A69&amp;"'"&amp;"!"&amp;K$37&amp;"93")/10000,"")</f>
        <v>0</v>
      </c>
      <c r="L69" s="346">
        <f ca="1">IFERROR(INDIRECT("'X-"&amp;$A69&amp;"'"&amp;"!"&amp;L$37&amp;"93")/10000,"")</f>
        <v>0</v>
      </c>
      <c r="M69" s="346">
        <f ca="1">IFERROR(INDIRECT("'X-"&amp;$A69&amp;"'"&amp;"!"&amp;M$37&amp;"93")/10000,"")</f>
        <v>0</v>
      </c>
      <c r="N69" s="346">
        <f ca="1" t="shared" ref="N69:N74" si="37">IFERROR(INDIRECT("'X-"&amp;$A69&amp;"'"&amp;"!"&amp;N$37&amp;"93")/10000,"")</f>
        <v>911.668676</v>
      </c>
      <c r="O69" s="359">
        <f ca="1" t="shared" si="35"/>
        <v>0</v>
      </c>
    </row>
    <row r="70" spans="1:15">
      <c r="A70" s="344" t="s">
        <v>18</v>
      </c>
      <c r="B70" s="346">
        <f ca="1" t="shared" si="36"/>
        <v>-0.035822</v>
      </c>
      <c r="C70" s="346">
        <f ca="1">IFERROR(INDIRECT("'X-"&amp;$A70&amp;"'"&amp;"!"&amp;C$37&amp;"93")/10000,"")</f>
        <v>26.183393</v>
      </c>
      <c r="D70" s="346">
        <f ca="1">IFERROR(INDIRECT("'X-"&amp;$A70&amp;"'"&amp;"!"&amp;D$37&amp;"93")/10000,"")</f>
        <v>8.147349</v>
      </c>
      <c r="E70" s="346">
        <f ca="1">IFERROR(INDIRECT("'X-"&amp;$A70&amp;"'"&amp;"!"&amp;E$37&amp;"93")/10000,"")</f>
        <v>5.930173</v>
      </c>
      <c r="F70" s="346">
        <f ca="1">IFERROR(INDIRECT("'X-"&amp;$A70&amp;"'"&amp;"!"&amp;F$37&amp;"93")/10000,"")</f>
        <v>0</v>
      </c>
      <c r="G70" s="346">
        <f ca="1">IFERROR(INDIRECT("'X-"&amp;$A70&amp;"'"&amp;"!"&amp;G$37&amp;"93")/10000,"")</f>
        <v>0</v>
      </c>
      <c r="H70" s="346">
        <f ca="1">IFERROR(INDIRECT("'X-"&amp;$A70&amp;"'"&amp;"!"&amp;H$37&amp;"93")/10000,"")</f>
        <v>0</v>
      </c>
      <c r="I70" s="346">
        <f ca="1">IFERROR(INDIRECT("'X-"&amp;$A70&amp;"'"&amp;"!"&amp;I$37&amp;"93")/10000,"")</f>
        <v>0</v>
      </c>
      <c r="J70" s="346">
        <f ca="1">IFERROR(INDIRECT("'X-"&amp;$A70&amp;"'"&amp;"!"&amp;J$37&amp;"93")/10000,"")</f>
        <v>0</v>
      </c>
      <c r="K70" s="346">
        <f ca="1">IFERROR(INDIRECT("'X-"&amp;$A70&amp;"'"&amp;"!"&amp;K$37&amp;"93")/10000,"")</f>
        <v>0</v>
      </c>
      <c r="L70" s="346">
        <f ca="1">IFERROR(INDIRECT("'X-"&amp;$A70&amp;"'"&amp;"!"&amp;L$37&amp;"93")/10000,"")</f>
        <v>0</v>
      </c>
      <c r="M70" s="346">
        <f ca="1">IFERROR(INDIRECT("'X-"&amp;$A70&amp;"'"&amp;"!"&amp;M$37&amp;"93")/10000,"")</f>
        <v>0</v>
      </c>
      <c r="N70" s="346">
        <f ca="1" t="shared" si="37"/>
        <v>40.225093</v>
      </c>
      <c r="O70" s="359">
        <f ca="1" t="shared" si="35"/>
        <v>0</v>
      </c>
    </row>
    <row r="71" spans="1:15">
      <c r="A71" s="360" t="s">
        <v>19</v>
      </c>
      <c r="B71" s="346">
        <v>0</v>
      </c>
      <c r="C71" s="346">
        <v>0</v>
      </c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59">
        <f ca="1" t="shared" si="35"/>
        <v>0</v>
      </c>
    </row>
    <row r="72" spans="1:15">
      <c r="A72" s="360" t="s">
        <v>20</v>
      </c>
      <c r="B72" s="346">
        <v>0</v>
      </c>
      <c r="C72" s="346">
        <v>0</v>
      </c>
      <c r="D72" s="346">
        <v>0</v>
      </c>
      <c r="E72" s="346">
        <v>0</v>
      </c>
      <c r="F72" s="346">
        <v>0</v>
      </c>
      <c r="G72" s="346">
        <v>0</v>
      </c>
      <c r="H72" s="346">
        <v>0</v>
      </c>
      <c r="I72" s="346">
        <v>0</v>
      </c>
      <c r="J72" s="346">
        <v>0</v>
      </c>
      <c r="K72" s="346">
        <v>0</v>
      </c>
      <c r="L72" s="346">
        <v>0</v>
      </c>
      <c r="M72" s="346">
        <v>0</v>
      </c>
      <c r="N72" s="346">
        <v>0</v>
      </c>
      <c r="O72" s="359">
        <f ca="1" t="shared" si="35"/>
        <v>0</v>
      </c>
    </row>
    <row r="73" spans="1:15">
      <c r="A73" s="360" t="s">
        <v>21</v>
      </c>
      <c r="B73" s="346">
        <v>0</v>
      </c>
      <c r="C73" s="346">
        <v>0</v>
      </c>
      <c r="D73" s="346">
        <v>0</v>
      </c>
      <c r="E73" s="346">
        <v>0</v>
      </c>
      <c r="F73" s="346">
        <v>0</v>
      </c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59">
        <f ca="1" t="shared" si="35"/>
        <v>0</v>
      </c>
    </row>
    <row r="74" spans="1:15">
      <c r="A74" s="344" t="s">
        <v>22</v>
      </c>
      <c r="B74" s="346">
        <f ca="1" t="shared" si="36"/>
        <v>222.256218</v>
      </c>
      <c r="C74" s="346">
        <f ca="1" t="shared" ref="C74:M74" si="38">IFERROR(INDIRECT("'X-"&amp;$A74&amp;"'"&amp;"!"&amp;C$37&amp;"93")/10000,"")</f>
        <v>-170.533554</v>
      </c>
      <c r="D74" s="346">
        <f ca="1" t="shared" si="38"/>
        <v>48.822725</v>
      </c>
      <c r="E74" s="346">
        <f ca="1" t="shared" si="38"/>
        <v>107.325093</v>
      </c>
      <c r="F74" s="346">
        <f ca="1" t="shared" si="38"/>
        <v>0</v>
      </c>
      <c r="G74" s="346">
        <f ca="1" t="shared" si="38"/>
        <v>0</v>
      </c>
      <c r="H74" s="346">
        <f ca="1" t="shared" si="38"/>
        <v>0</v>
      </c>
      <c r="I74" s="346">
        <f ca="1" t="shared" si="38"/>
        <v>0</v>
      </c>
      <c r="J74" s="346">
        <f ca="1" t="shared" si="38"/>
        <v>0</v>
      </c>
      <c r="K74" s="346">
        <f ca="1" t="shared" si="38"/>
        <v>0</v>
      </c>
      <c r="L74" s="346">
        <f ca="1" t="shared" si="38"/>
        <v>0</v>
      </c>
      <c r="M74" s="346">
        <f ca="1" t="shared" si="38"/>
        <v>0</v>
      </c>
      <c r="N74" s="346">
        <f ca="1" t="shared" si="37"/>
        <v>207.870482</v>
      </c>
      <c r="O74" s="359">
        <f ca="1" t="shared" si="35"/>
        <v>0</v>
      </c>
    </row>
    <row r="75" spans="1:15">
      <c r="A75" s="344" t="s">
        <v>23</v>
      </c>
      <c r="B75" s="346">
        <f ca="1" t="shared" ref="B75:B80" si="39">IFERROR(INDIRECT("'X-"&amp;$A75&amp;"'"&amp;"!"&amp;B$37&amp;"93")/10000,"")</f>
        <v>4.156155</v>
      </c>
      <c r="C75" s="346">
        <f ca="1" t="shared" ref="C75:N75" si="40">IFERROR(INDIRECT("'X-"&amp;$A75&amp;"'"&amp;"!"&amp;C$37&amp;"93")/10000,"")</f>
        <v>0.150778</v>
      </c>
      <c r="D75" s="346">
        <f ca="1" t="shared" si="40"/>
        <v>0.625672</v>
      </c>
      <c r="E75" s="346">
        <f ca="1" t="shared" si="40"/>
        <v>7.644396</v>
      </c>
      <c r="F75" s="346">
        <f ca="1" t="shared" si="40"/>
        <v>0</v>
      </c>
      <c r="G75" s="346">
        <f ca="1" t="shared" si="40"/>
        <v>0</v>
      </c>
      <c r="H75" s="346">
        <f ca="1" t="shared" si="40"/>
        <v>0</v>
      </c>
      <c r="I75" s="346">
        <f ca="1" t="shared" si="40"/>
        <v>0</v>
      </c>
      <c r="J75" s="346">
        <f ca="1" t="shared" si="40"/>
        <v>0</v>
      </c>
      <c r="K75" s="346">
        <f ca="1" t="shared" si="40"/>
        <v>0</v>
      </c>
      <c r="L75" s="346">
        <f ca="1" t="shared" si="40"/>
        <v>0</v>
      </c>
      <c r="M75" s="346">
        <f ca="1" t="shared" si="40"/>
        <v>0</v>
      </c>
      <c r="N75" s="346">
        <f ca="1" t="shared" si="40"/>
        <v>12.577001</v>
      </c>
      <c r="O75" s="359">
        <f ca="1" t="shared" si="35"/>
        <v>0</v>
      </c>
    </row>
    <row r="76" spans="1:15">
      <c r="A76" s="360" t="s">
        <v>24</v>
      </c>
      <c r="B76" s="346">
        <v>0</v>
      </c>
      <c r="C76" s="346">
        <v>0</v>
      </c>
      <c r="D76" s="346">
        <v>0</v>
      </c>
      <c r="E76" s="346">
        <v>0</v>
      </c>
      <c r="F76" s="346">
        <v>0</v>
      </c>
      <c r="G76" s="346">
        <v>0</v>
      </c>
      <c r="H76" s="346">
        <v>0</v>
      </c>
      <c r="I76" s="346">
        <v>0</v>
      </c>
      <c r="J76" s="346">
        <v>0</v>
      </c>
      <c r="K76" s="346">
        <v>0</v>
      </c>
      <c r="L76" s="346">
        <v>0</v>
      </c>
      <c r="M76" s="346">
        <v>0</v>
      </c>
      <c r="N76" s="346">
        <v>0</v>
      </c>
      <c r="O76" s="359">
        <v>0</v>
      </c>
    </row>
    <row r="77" spans="1:15">
      <c r="A77" s="360" t="s">
        <v>25</v>
      </c>
      <c r="B77" s="346">
        <f ca="1">IFERROR(INDIRECT("'X-"&amp;$A77&amp;"'"&amp;"!"&amp;B$37&amp;"93"),"")</f>
        <v>0</v>
      </c>
      <c r="C77" s="346">
        <f ca="1" t="shared" ref="C77:M77" si="41">IFERROR(INDIRECT("'X-"&amp;$A77&amp;"'"&amp;"!"&amp;C$37&amp;"93"),"")</f>
        <v>0</v>
      </c>
      <c r="D77" s="346">
        <f ca="1" t="shared" si="41"/>
        <v>0</v>
      </c>
      <c r="E77" s="346">
        <f ca="1" t="shared" si="41"/>
        <v>0</v>
      </c>
      <c r="F77" s="346">
        <f ca="1" t="shared" si="41"/>
        <v>0</v>
      </c>
      <c r="G77" s="346">
        <f ca="1" t="shared" si="41"/>
        <v>0</v>
      </c>
      <c r="H77" s="346">
        <f ca="1" t="shared" si="41"/>
        <v>0</v>
      </c>
      <c r="I77" s="346">
        <f ca="1" t="shared" si="41"/>
        <v>0</v>
      </c>
      <c r="J77" s="346">
        <f ca="1" t="shared" si="41"/>
        <v>0</v>
      </c>
      <c r="K77" s="346">
        <f ca="1" t="shared" si="41"/>
        <v>0</v>
      </c>
      <c r="L77" s="346">
        <f ca="1" t="shared" si="41"/>
        <v>0</v>
      </c>
      <c r="M77" s="346">
        <f ca="1" t="shared" si="41"/>
        <v>0</v>
      </c>
      <c r="N77" s="346">
        <f ca="1">IFERROR(INDIRECT("'X-"&amp;$A77&amp;"'"&amp;"!"&amp;N$37&amp;"93"),"")</f>
        <v>0</v>
      </c>
      <c r="O77" s="359">
        <f ca="1" t="shared" si="35"/>
        <v>0</v>
      </c>
    </row>
    <row r="78" spans="1:15">
      <c r="A78" s="344" t="s">
        <v>26</v>
      </c>
      <c r="B78" s="346">
        <f ca="1" t="shared" si="39"/>
        <v>87.717187</v>
      </c>
      <c r="C78" s="346">
        <f ca="1" t="shared" ref="C78:C80" si="42">IFERROR(INDIRECT("'X-"&amp;$A78&amp;"'"&amp;"!"&amp;C$37&amp;"93")/10000,"")</f>
        <v>117.167001</v>
      </c>
      <c r="D78" s="346">
        <f ca="1" t="shared" ref="D78:D80" si="43">IFERROR(INDIRECT("'X-"&amp;$A78&amp;"'"&amp;"!"&amp;D$37&amp;"93")/10000,"")</f>
        <v>237.945719</v>
      </c>
      <c r="E78" s="346">
        <f ca="1" t="shared" ref="E78:E80" si="44">IFERROR(INDIRECT("'X-"&amp;$A78&amp;"'"&amp;"!"&amp;E$37&amp;"93")/10000,"")</f>
        <v>181.183744</v>
      </c>
      <c r="F78" s="346">
        <f ca="1" t="shared" ref="F78:F80" si="45">IFERROR(INDIRECT("'X-"&amp;$A78&amp;"'"&amp;"!"&amp;F$37&amp;"93")/10000,"")</f>
        <v>0</v>
      </c>
      <c r="G78" s="346">
        <f ca="1" t="shared" ref="G78:G80" si="46">IFERROR(INDIRECT("'X-"&amp;$A78&amp;"'"&amp;"!"&amp;G$37&amp;"93")/10000,"")</f>
        <v>0</v>
      </c>
      <c r="H78" s="346">
        <f ca="1" t="shared" ref="H78:H80" si="47">IFERROR(INDIRECT("'X-"&amp;$A78&amp;"'"&amp;"!"&amp;H$37&amp;"93")/10000,"")</f>
        <v>0</v>
      </c>
      <c r="I78" s="346">
        <f ca="1" t="shared" ref="I78:I80" si="48">IFERROR(INDIRECT("'X-"&amp;$A78&amp;"'"&amp;"!"&amp;I$37&amp;"93")/10000,"")</f>
        <v>0</v>
      </c>
      <c r="J78" s="346">
        <f ca="1" t="shared" ref="J78:J80" si="49">IFERROR(INDIRECT("'X-"&amp;$A78&amp;"'"&amp;"!"&amp;J$37&amp;"93")/10000,"")</f>
        <v>0</v>
      </c>
      <c r="K78" s="346">
        <f ca="1" t="shared" ref="K78:K80" si="50">IFERROR(INDIRECT("'X-"&amp;$A78&amp;"'"&amp;"!"&amp;K$37&amp;"93")/10000,"")</f>
        <v>0</v>
      </c>
      <c r="L78" s="346">
        <f ca="1" t="shared" ref="L78:L80" si="51">IFERROR(INDIRECT("'X-"&amp;$A78&amp;"'"&amp;"!"&amp;L$37&amp;"93")/10000,"")</f>
        <v>0</v>
      </c>
      <c r="M78" s="346">
        <f ca="1" t="shared" ref="M78:M80" si="52">IFERROR(INDIRECT("'X-"&amp;$A78&amp;"'"&amp;"!"&amp;M$37&amp;"93")/10000,"")</f>
        <v>0</v>
      </c>
      <c r="N78" s="346">
        <f ca="1" t="shared" ref="N78:N80" si="53">IFERROR(INDIRECT("'X-"&amp;$A78&amp;"'"&amp;"!"&amp;N$37&amp;"93")/10000,"")</f>
        <v>624.013651</v>
      </c>
      <c r="O78" s="359">
        <f ca="1" t="shared" si="35"/>
        <v>0</v>
      </c>
    </row>
    <row r="79" spans="1:15">
      <c r="A79" s="344" t="s">
        <v>27</v>
      </c>
      <c r="B79" s="346">
        <f ca="1" t="shared" si="39"/>
        <v>7.701546</v>
      </c>
      <c r="C79" s="346">
        <f ca="1" t="shared" si="42"/>
        <v>-6.893314</v>
      </c>
      <c r="D79" s="346">
        <f ca="1" t="shared" si="43"/>
        <v>0.557282</v>
      </c>
      <c r="E79" s="346">
        <f ca="1" t="shared" si="44"/>
        <v>0.602385</v>
      </c>
      <c r="F79" s="346">
        <f ca="1" t="shared" si="45"/>
        <v>0</v>
      </c>
      <c r="G79" s="346">
        <f ca="1" t="shared" si="46"/>
        <v>0</v>
      </c>
      <c r="H79" s="346">
        <f ca="1" t="shared" si="47"/>
        <v>0</v>
      </c>
      <c r="I79" s="346">
        <f ca="1" t="shared" si="48"/>
        <v>0</v>
      </c>
      <c r="J79" s="346">
        <f ca="1" t="shared" si="49"/>
        <v>0</v>
      </c>
      <c r="K79" s="346">
        <f ca="1" t="shared" si="50"/>
        <v>0</v>
      </c>
      <c r="L79" s="346">
        <f ca="1" t="shared" si="51"/>
        <v>0</v>
      </c>
      <c r="M79" s="346">
        <f ca="1" t="shared" si="52"/>
        <v>0</v>
      </c>
      <c r="N79" s="346">
        <f ca="1" t="shared" si="53"/>
        <v>1.967899</v>
      </c>
      <c r="O79" s="359">
        <f ca="1" t="shared" si="35"/>
        <v>0</v>
      </c>
    </row>
    <row r="80" spans="1:15">
      <c r="A80" s="344" t="s">
        <v>28</v>
      </c>
      <c r="B80" s="346">
        <f ca="1" t="shared" si="39"/>
        <v>12.529871</v>
      </c>
      <c r="C80" s="346">
        <f ca="1" t="shared" si="42"/>
        <v>5.58584</v>
      </c>
      <c r="D80" s="346">
        <f ca="1" t="shared" si="43"/>
        <v>23.307297</v>
      </c>
      <c r="E80" s="346">
        <f ca="1" t="shared" si="44"/>
        <v>41.548525</v>
      </c>
      <c r="F80" s="346">
        <f ca="1" t="shared" si="45"/>
        <v>0</v>
      </c>
      <c r="G80" s="346">
        <f ca="1" t="shared" si="46"/>
        <v>0</v>
      </c>
      <c r="H80" s="346">
        <f ca="1" t="shared" si="47"/>
        <v>0</v>
      </c>
      <c r="I80" s="346">
        <f ca="1" t="shared" si="48"/>
        <v>0</v>
      </c>
      <c r="J80" s="346">
        <f ca="1" t="shared" si="49"/>
        <v>0</v>
      </c>
      <c r="K80" s="346">
        <f ca="1" t="shared" si="50"/>
        <v>0</v>
      </c>
      <c r="L80" s="346">
        <f ca="1" t="shared" si="51"/>
        <v>0</v>
      </c>
      <c r="M80" s="346">
        <f ca="1" t="shared" si="52"/>
        <v>0</v>
      </c>
      <c r="N80" s="346">
        <f ca="1" t="shared" si="53"/>
        <v>82.971533</v>
      </c>
      <c r="O80" s="359">
        <f ca="1" t="shared" si="35"/>
        <v>0</v>
      </c>
    </row>
    <row r="81" spans="1:15">
      <c r="A81" s="344" t="s">
        <v>29</v>
      </c>
      <c r="B81" s="346">
        <f ca="1" t="shared" ref="B81:B87" si="54">IFERROR(INDIRECT("'X-"&amp;$A81&amp;"'"&amp;"!"&amp;B$37&amp;"93")/10000,"")</f>
        <v>0</v>
      </c>
      <c r="C81" s="346">
        <f ca="1" t="shared" ref="C81:N81" si="55">IFERROR(INDIRECT("'X-"&amp;$A81&amp;"'"&amp;"!"&amp;C$37&amp;"93")/10000,"")</f>
        <v>0</v>
      </c>
      <c r="D81" s="346">
        <f ca="1" t="shared" si="55"/>
        <v>0</v>
      </c>
      <c r="E81" s="346">
        <f ca="1" t="shared" si="55"/>
        <v>0</v>
      </c>
      <c r="F81" s="346">
        <f ca="1" t="shared" si="55"/>
        <v>0</v>
      </c>
      <c r="G81" s="346">
        <f ca="1" t="shared" si="55"/>
        <v>0</v>
      </c>
      <c r="H81" s="346">
        <f ca="1" t="shared" si="55"/>
        <v>0</v>
      </c>
      <c r="I81" s="346">
        <f ca="1" t="shared" si="55"/>
        <v>0</v>
      </c>
      <c r="J81" s="346">
        <f ca="1" t="shared" si="55"/>
        <v>0</v>
      </c>
      <c r="K81" s="346">
        <f ca="1" t="shared" si="55"/>
        <v>0</v>
      </c>
      <c r="L81" s="346">
        <f ca="1" t="shared" si="55"/>
        <v>0</v>
      </c>
      <c r="M81" s="346">
        <f ca="1" t="shared" si="55"/>
        <v>0</v>
      </c>
      <c r="N81" s="346">
        <f ca="1" t="shared" si="55"/>
        <v>0</v>
      </c>
      <c r="O81" s="359">
        <f ca="1" t="shared" si="35"/>
        <v>0</v>
      </c>
    </row>
    <row r="82" spans="1:15">
      <c r="A82" s="360" t="s">
        <v>30</v>
      </c>
      <c r="B82" s="346">
        <v>0</v>
      </c>
      <c r="C82" s="346">
        <v>0</v>
      </c>
      <c r="D82" s="346">
        <v>0</v>
      </c>
      <c r="E82" s="346">
        <v>0</v>
      </c>
      <c r="F82" s="346">
        <v>0</v>
      </c>
      <c r="G82" s="346">
        <v>0</v>
      </c>
      <c r="H82" s="346">
        <v>0</v>
      </c>
      <c r="I82" s="346">
        <v>0</v>
      </c>
      <c r="J82" s="346">
        <v>0</v>
      </c>
      <c r="K82" s="346">
        <v>0</v>
      </c>
      <c r="L82" s="346">
        <v>0</v>
      </c>
      <c r="M82" s="346">
        <v>0</v>
      </c>
      <c r="N82" s="346">
        <v>0</v>
      </c>
      <c r="O82" s="359">
        <v>0</v>
      </c>
    </row>
    <row r="83" spans="1:15">
      <c r="A83" s="344" t="s">
        <v>31</v>
      </c>
      <c r="B83" s="346">
        <f ca="1" t="shared" si="54"/>
        <v>1.02</v>
      </c>
      <c r="C83" s="346">
        <f ca="1" t="shared" ref="C83:C87" si="56">IFERROR(INDIRECT("'X-"&amp;$A83&amp;"'"&amp;"!"&amp;C$37&amp;"93")/10000,"")</f>
        <v>0</v>
      </c>
      <c r="D83" s="346">
        <f ca="1" t="shared" ref="D83:D87" si="57">IFERROR(INDIRECT("'X-"&amp;$A83&amp;"'"&amp;"!"&amp;D$37&amp;"93")/10000,"")</f>
        <v>0.13587</v>
      </c>
      <c r="E83" s="346">
        <f ca="1" t="shared" ref="E83:E87" si="58">IFERROR(INDIRECT("'X-"&amp;$A83&amp;"'"&amp;"!"&amp;E$37&amp;"93")/10000,"")</f>
        <v>0</v>
      </c>
      <c r="F83" s="346">
        <f ca="1" t="shared" ref="F83:F87" si="59">IFERROR(INDIRECT("'X-"&amp;$A83&amp;"'"&amp;"!"&amp;F$37&amp;"93")/10000,"")</f>
        <v>0</v>
      </c>
      <c r="G83" s="346">
        <f ca="1" t="shared" ref="G83:G87" si="60">IFERROR(INDIRECT("'X-"&amp;$A83&amp;"'"&amp;"!"&amp;G$37&amp;"93")/10000,"")</f>
        <v>0</v>
      </c>
      <c r="H83" s="346">
        <f ca="1" t="shared" ref="H83:H87" si="61">IFERROR(INDIRECT("'X-"&amp;$A83&amp;"'"&amp;"!"&amp;H$37&amp;"93")/10000,"")</f>
        <v>0</v>
      </c>
      <c r="I83" s="346">
        <f ca="1" t="shared" ref="I83:I87" si="62">IFERROR(INDIRECT("'X-"&amp;$A83&amp;"'"&amp;"!"&amp;I$37&amp;"93")/10000,"")</f>
        <v>0</v>
      </c>
      <c r="J83" s="346">
        <f ca="1" t="shared" ref="J83:J87" si="63">IFERROR(INDIRECT("'X-"&amp;$A83&amp;"'"&amp;"!"&amp;J$37&amp;"93")/10000,"")</f>
        <v>0</v>
      </c>
      <c r="K83" s="346">
        <f ca="1" t="shared" ref="K83:K87" si="64">IFERROR(INDIRECT("'X-"&amp;$A83&amp;"'"&amp;"!"&amp;K$37&amp;"93")/10000,"")</f>
        <v>0</v>
      </c>
      <c r="L83" s="346">
        <f ca="1" t="shared" ref="L83:L87" si="65">IFERROR(INDIRECT("'X-"&amp;$A83&amp;"'"&amp;"!"&amp;L$37&amp;"93")/10000,"")</f>
        <v>0</v>
      </c>
      <c r="M83" s="346">
        <f ca="1" t="shared" ref="M83:M87" si="66">IFERROR(INDIRECT("'X-"&amp;$A83&amp;"'"&amp;"!"&amp;M$37&amp;"93")/10000,"")</f>
        <v>0</v>
      </c>
      <c r="N83" s="346">
        <f ca="1" t="shared" ref="N83:N87" si="67">IFERROR(INDIRECT("'X-"&amp;$A83&amp;"'"&amp;"!"&amp;N$37&amp;"93")/10000,"")</f>
        <v>1.15587</v>
      </c>
      <c r="O83" s="359">
        <f ca="1" t="shared" si="35"/>
        <v>0</v>
      </c>
    </row>
    <row r="84" spans="1:15">
      <c r="A84" s="344" t="s">
        <v>32</v>
      </c>
      <c r="B84" s="346">
        <f ca="1" t="shared" si="54"/>
        <v>10.006974</v>
      </c>
      <c r="C84" s="346">
        <f ca="1" t="shared" si="56"/>
        <v>6.523732</v>
      </c>
      <c r="D84" s="346">
        <f ca="1" t="shared" si="57"/>
        <v>14.72185</v>
      </c>
      <c r="E84" s="346">
        <f ca="1" t="shared" si="58"/>
        <v>14.045369</v>
      </c>
      <c r="F84" s="346">
        <f ca="1" t="shared" si="59"/>
        <v>0</v>
      </c>
      <c r="G84" s="346">
        <f ca="1" t="shared" si="60"/>
        <v>0</v>
      </c>
      <c r="H84" s="346">
        <f ca="1" t="shared" si="61"/>
        <v>0</v>
      </c>
      <c r="I84" s="346">
        <f ca="1" t="shared" si="62"/>
        <v>0</v>
      </c>
      <c r="J84" s="346">
        <f ca="1" t="shared" si="63"/>
        <v>0</v>
      </c>
      <c r="K84" s="346">
        <f ca="1" t="shared" si="64"/>
        <v>0</v>
      </c>
      <c r="L84" s="346">
        <f ca="1" t="shared" si="65"/>
        <v>0</v>
      </c>
      <c r="M84" s="346">
        <f ca="1" t="shared" si="66"/>
        <v>0</v>
      </c>
      <c r="N84" s="346">
        <f ca="1" t="shared" si="67"/>
        <v>45.297925</v>
      </c>
      <c r="O84" s="359">
        <f ca="1" t="shared" si="35"/>
        <v>0</v>
      </c>
    </row>
    <row r="85" spans="1:15">
      <c r="A85" s="344" t="s">
        <v>33</v>
      </c>
      <c r="B85" s="346">
        <f ca="1" t="shared" si="54"/>
        <v>14.893644</v>
      </c>
      <c r="C85" s="346">
        <f ca="1" t="shared" si="56"/>
        <v>7.81179</v>
      </c>
      <c r="D85" s="346">
        <f ca="1" t="shared" si="57"/>
        <v>26.611912</v>
      </c>
      <c r="E85" s="346">
        <f ca="1" t="shared" si="58"/>
        <v>23.753422</v>
      </c>
      <c r="F85" s="346">
        <f ca="1" t="shared" si="59"/>
        <v>0</v>
      </c>
      <c r="G85" s="346">
        <f ca="1" t="shared" si="60"/>
        <v>0</v>
      </c>
      <c r="H85" s="346">
        <f ca="1" t="shared" si="61"/>
        <v>0</v>
      </c>
      <c r="I85" s="346">
        <f ca="1" t="shared" si="62"/>
        <v>0</v>
      </c>
      <c r="J85" s="346">
        <f ca="1" t="shared" si="63"/>
        <v>0</v>
      </c>
      <c r="K85" s="346">
        <f ca="1" t="shared" si="64"/>
        <v>0</v>
      </c>
      <c r="L85" s="346">
        <f ca="1" t="shared" si="65"/>
        <v>0</v>
      </c>
      <c r="M85" s="346">
        <f ca="1" t="shared" si="66"/>
        <v>0</v>
      </c>
      <c r="N85" s="346">
        <f ca="1" t="shared" si="67"/>
        <v>73.070768</v>
      </c>
      <c r="O85" s="359">
        <f ca="1" t="shared" si="35"/>
        <v>0</v>
      </c>
    </row>
    <row r="86" spans="1:15">
      <c r="A86" s="344" t="s">
        <v>34</v>
      </c>
      <c r="B86" s="346">
        <f ca="1" t="shared" si="54"/>
        <v>0.583918</v>
      </c>
      <c r="C86" s="346">
        <f ca="1" t="shared" si="56"/>
        <v>0.785721</v>
      </c>
      <c r="D86" s="346">
        <f ca="1" t="shared" si="57"/>
        <v>0.0521</v>
      </c>
      <c r="E86" s="346">
        <f ca="1" t="shared" si="58"/>
        <v>1.576748</v>
      </c>
      <c r="F86" s="346">
        <f ca="1" t="shared" si="59"/>
        <v>0</v>
      </c>
      <c r="G86" s="346">
        <f ca="1" t="shared" si="60"/>
        <v>0</v>
      </c>
      <c r="H86" s="346">
        <f ca="1" t="shared" si="61"/>
        <v>0</v>
      </c>
      <c r="I86" s="346">
        <f ca="1" t="shared" si="62"/>
        <v>0</v>
      </c>
      <c r="J86" s="346">
        <f ca="1" t="shared" si="63"/>
        <v>0</v>
      </c>
      <c r="K86" s="346">
        <f ca="1" t="shared" si="64"/>
        <v>0</v>
      </c>
      <c r="L86" s="346">
        <f ca="1" t="shared" si="65"/>
        <v>0</v>
      </c>
      <c r="M86" s="346">
        <f ca="1" t="shared" si="66"/>
        <v>0</v>
      </c>
      <c r="N86" s="346">
        <f ca="1" t="shared" si="67"/>
        <v>2.998487</v>
      </c>
      <c r="O86" s="359">
        <f ca="1" t="shared" si="35"/>
        <v>0</v>
      </c>
    </row>
    <row r="87" spans="1:15">
      <c r="A87" s="344" t="s">
        <v>35</v>
      </c>
      <c r="B87" s="346">
        <f ca="1" t="shared" si="54"/>
        <v>0</v>
      </c>
      <c r="C87" s="346">
        <f ca="1" t="shared" si="56"/>
        <v>0</v>
      </c>
      <c r="D87" s="346">
        <f ca="1" t="shared" si="57"/>
        <v>0</v>
      </c>
      <c r="E87" s="346">
        <f ca="1" t="shared" si="58"/>
        <v>0</v>
      </c>
      <c r="F87" s="346">
        <f ca="1" t="shared" si="59"/>
        <v>0</v>
      </c>
      <c r="G87" s="346">
        <f ca="1" t="shared" si="60"/>
        <v>0</v>
      </c>
      <c r="H87" s="346">
        <f ca="1" t="shared" si="61"/>
        <v>0</v>
      </c>
      <c r="I87" s="346">
        <f ca="1" t="shared" si="62"/>
        <v>0</v>
      </c>
      <c r="J87" s="346">
        <f ca="1" t="shared" si="63"/>
        <v>0</v>
      </c>
      <c r="K87" s="346">
        <f ca="1" t="shared" si="64"/>
        <v>0</v>
      </c>
      <c r="L87" s="346">
        <f ca="1" t="shared" si="65"/>
        <v>0</v>
      </c>
      <c r="M87" s="346">
        <f ca="1" t="shared" si="66"/>
        <v>0</v>
      </c>
      <c r="N87" s="346">
        <f ca="1" t="shared" si="67"/>
        <v>0</v>
      </c>
      <c r="O87" s="359">
        <f ca="1" t="shared" si="35"/>
        <v>0</v>
      </c>
    </row>
    <row r="88" spans="1:15">
      <c r="A88" s="360" t="s">
        <v>36</v>
      </c>
      <c r="B88" s="346">
        <v>0</v>
      </c>
      <c r="C88" s="346">
        <v>0</v>
      </c>
      <c r="D88" s="346">
        <v>0</v>
      </c>
      <c r="E88" s="346">
        <v>0</v>
      </c>
      <c r="F88" s="346">
        <v>0</v>
      </c>
      <c r="G88" s="346">
        <v>0</v>
      </c>
      <c r="H88" s="346">
        <v>0</v>
      </c>
      <c r="I88" s="346">
        <v>0</v>
      </c>
      <c r="J88" s="346">
        <v>0</v>
      </c>
      <c r="K88" s="346">
        <v>0</v>
      </c>
      <c r="L88" s="346">
        <v>0</v>
      </c>
      <c r="M88" s="346">
        <v>0</v>
      </c>
      <c r="N88" s="346">
        <v>0</v>
      </c>
      <c r="O88" s="359">
        <v>0</v>
      </c>
    </row>
    <row r="89" spans="1:15">
      <c r="A89" s="347" t="s">
        <v>12</v>
      </c>
      <c r="B89" s="346">
        <f ca="1" t="shared" ref="B89:N89" si="68">SUM(B66:B88)</f>
        <v>827.060253</v>
      </c>
      <c r="C89" s="346">
        <f ca="1" t="shared" si="68"/>
        <v>424.914888</v>
      </c>
      <c r="D89" s="346">
        <f ca="1" t="shared" si="68"/>
        <v>1651.609784</v>
      </c>
      <c r="E89" s="346">
        <f ca="1" t="shared" si="68"/>
        <v>1417.281308</v>
      </c>
      <c r="F89" s="346">
        <f ca="1" t="shared" si="68"/>
        <v>0</v>
      </c>
      <c r="G89" s="346">
        <f ca="1" t="shared" si="68"/>
        <v>0</v>
      </c>
      <c r="H89" s="346">
        <f ca="1" t="shared" si="68"/>
        <v>0</v>
      </c>
      <c r="I89" s="346">
        <f ca="1" t="shared" si="68"/>
        <v>0</v>
      </c>
      <c r="J89" s="346">
        <f ca="1" t="shared" si="68"/>
        <v>0</v>
      </c>
      <c r="K89" s="346">
        <f ca="1" t="shared" si="68"/>
        <v>0</v>
      </c>
      <c r="L89" s="346">
        <f ca="1" t="shared" si="68"/>
        <v>0</v>
      </c>
      <c r="M89" s="346">
        <f ca="1" t="shared" si="68"/>
        <v>0</v>
      </c>
      <c r="N89" s="346">
        <f ca="1" t="shared" si="68"/>
        <v>4320.866233</v>
      </c>
      <c r="O89" s="359">
        <f ca="1" t="shared" si="35"/>
        <v>0</v>
      </c>
    </row>
    <row r="92" s="332" customFormat="1" spans="1:15">
      <c r="A92" s="343" t="s">
        <v>60</v>
      </c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56" t="s">
        <v>10</v>
      </c>
    </row>
    <row r="93" s="332" customFormat="1" spans="1:15">
      <c r="A93" s="344" t="s">
        <v>11</v>
      </c>
      <c r="B93" s="345">
        <v>43831</v>
      </c>
      <c r="C93" s="345">
        <v>43862</v>
      </c>
      <c r="D93" s="345">
        <v>43891</v>
      </c>
      <c r="E93" s="345">
        <v>43922</v>
      </c>
      <c r="F93" s="345">
        <v>43952</v>
      </c>
      <c r="G93" s="345">
        <v>43983</v>
      </c>
      <c r="H93" s="345">
        <v>44013</v>
      </c>
      <c r="I93" s="345">
        <v>44044</v>
      </c>
      <c r="J93" s="345">
        <v>44075</v>
      </c>
      <c r="K93" s="345">
        <v>44105</v>
      </c>
      <c r="L93" s="345">
        <v>44136</v>
      </c>
      <c r="M93" s="345">
        <v>44166</v>
      </c>
      <c r="N93" s="357" t="s">
        <v>12</v>
      </c>
      <c r="O93" s="358" t="s">
        <v>13</v>
      </c>
    </row>
    <row r="94" s="332" customFormat="1" spans="1:15">
      <c r="A94" s="344" t="s">
        <v>14</v>
      </c>
      <c r="B94" s="346">
        <f ca="1" t="shared" ref="B94:B97" si="69">IFERROR(INDIRECT("'Y-"&amp;$A94&amp;"'"&amp;"!"&amp;B$37&amp;"93")/10000,"")</f>
        <v>329.971503</v>
      </c>
      <c r="C94" s="346">
        <f ca="1" t="shared" ref="C94:C97" si="70">IFERROR(INDIRECT("'Y-"&amp;$A94&amp;"'"&amp;"!"&amp;C$37&amp;"93")/10000,"")</f>
        <v>278.844709</v>
      </c>
      <c r="D94" s="346">
        <f ca="1" t="shared" ref="D94:D97" si="71">IFERROR(INDIRECT("'Y-"&amp;$A94&amp;"'"&amp;"!"&amp;D$37&amp;"93")/10000,"")</f>
        <v>408.179834</v>
      </c>
      <c r="E94" s="346">
        <f ca="1" t="shared" ref="E94:E97" si="72">IFERROR(INDIRECT("'Y-"&amp;$A94&amp;"'"&amp;"!"&amp;E$37&amp;"93")/10000,"")</f>
        <v>588.888731</v>
      </c>
      <c r="F94" s="346">
        <f ca="1" t="shared" ref="F94:F97" si="73">IFERROR(INDIRECT("'Y-"&amp;$A94&amp;"'"&amp;"!"&amp;F$37&amp;"93")/10000,"")</f>
        <v>0</v>
      </c>
      <c r="G94" s="346">
        <f ca="1" t="shared" ref="G94:G97" si="74">IFERROR(INDIRECT("'Y-"&amp;$A94&amp;"'"&amp;"!"&amp;G$37&amp;"93")/10000,"")</f>
        <v>0</v>
      </c>
      <c r="H94" s="346">
        <f ca="1" t="shared" ref="H94:H97" si="75">IFERROR(INDIRECT("'Y-"&amp;$A94&amp;"'"&amp;"!"&amp;H$37&amp;"93")/10000,"")</f>
        <v>0</v>
      </c>
      <c r="I94" s="346">
        <f ca="1" t="shared" ref="I94:I97" si="76">IFERROR(INDIRECT("'Y-"&amp;$A94&amp;"'"&amp;"!"&amp;I$37&amp;"93")/10000,"")</f>
        <v>0</v>
      </c>
      <c r="J94" s="346">
        <f ca="1" t="shared" ref="J94:J97" si="77">IFERROR(INDIRECT("'Y-"&amp;$A94&amp;"'"&amp;"!"&amp;J$37&amp;"93")/10000,"")</f>
        <v>0</v>
      </c>
      <c r="K94" s="346">
        <f ca="1" t="shared" ref="K94:K97" si="78">IFERROR(INDIRECT("'Y-"&amp;$A94&amp;"'"&amp;"!"&amp;K$37&amp;"93")/10000,"")</f>
        <v>0</v>
      </c>
      <c r="L94" s="346">
        <f ca="1" t="shared" ref="L94:L97" si="79">IFERROR(INDIRECT("'Y-"&amp;$A94&amp;"'"&amp;"!"&amp;L$37&amp;"93")/10000,"")</f>
        <v>0</v>
      </c>
      <c r="M94" s="346">
        <f ca="1" t="shared" ref="M94:M97" si="80">IFERROR(INDIRECT("'Y-"&amp;$A94&amp;"'"&amp;"!"&amp;M$37&amp;"93")/10000,"")</f>
        <v>0</v>
      </c>
      <c r="N94" s="346">
        <f ca="1" t="shared" ref="N94:N97" si="81">IFERROR(INDIRECT("'Y-"&amp;$A94&amp;"'"&amp;"!"&amp;N$37&amp;"93")/10000,"")</f>
        <v>1605.884777</v>
      </c>
      <c r="O94" s="359">
        <f ca="1" t="shared" ref="O94:O117" si="82">IFERROR(SUM(B94:M94)-N94,"")</f>
        <v>0</v>
      </c>
    </row>
    <row r="95" s="332" customFormat="1" spans="1:15">
      <c r="A95" s="344" t="s">
        <v>15</v>
      </c>
      <c r="B95" s="346">
        <f ca="1" t="shared" si="69"/>
        <v>-1.030929</v>
      </c>
      <c r="C95" s="346">
        <f ca="1" t="shared" si="70"/>
        <v>0</v>
      </c>
      <c r="D95" s="346">
        <f ca="1" t="shared" si="71"/>
        <v>0</v>
      </c>
      <c r="E95" s="346">
        <f ca="1" t="shared" si="72"/>
        <v>0</v>
      </c>
      <c r="F95" s="346">
        <f ca="1" t="shared" si="73"/>
        <v>0</v>
      </c>
      <c r="G95" s="346">
        <f ca="1" t="shared" si="74"/>
        <v>0</v>
      </c>
      <c r="H95" s="346">
        <f ca="1" t="shared" si="75"/>
        <v>0</v>
      </c>
      <c r="I95" s="346">
        <f ca="1" t="shared" si="76"/>
        <v>0</v>
      </c>
      <c r="J95" s="346">
        <f ca="1" t="shared" si="77"/>
        <v>0</v>
      </c>
      <c r="K95" s="346">
        <f ca="1" t="shared" si="78"/>
        <v>0</v>
      </c>
      <c r="L95" s="346">
        <f ca="1" t="shared" si="79"/>
        <v>0</v>
      </c>
      <c r="M95" s="346">
        <f ca="1" t="shared" si="80"/>
        <v>0</v>
      </c>
      <c r="N95" s="346">
        <f ca="1" t="shared" si="81"/>
        <v>-1.030929</v>
      </c>
      <c r="O95" s="359">
        <f ca="1" t="shared" si="82"/>
        <v>0</v>
      </c>
    </row>
    <row r="96" s="332" customFormat="1" spans="1:15">
      <c r="A96" s="344" t="s">
        <v>16</v>
      </c>
      <c r="B96" s="346">
        <f ca="1" t="shared" si="69"/>
        <v>15.068391</v>
      </c>
      <c r="C96" s="346">
        <f ca="1" t="shared" si="70"/>
        <v>9.642686</v>
      </c>
      <c r="D96" s="346">
        <f ca="1" t="shared" si="71"/>
        <v>0</v>
      </c>
      <c r="E96" s="346">
        <f ca="1" t="shared" si="72"/>
        <v>0</v>
      </c>
      <c r="F96" s="346">
        <f ca="1" t="shared" si="73"/>
        <v>0</v>
      </c>
      <c r="G96" s="346">
        <f ca="1" t="shared" si="74"/>
        <v>0</v>
      </c>
      <c r="H96" s="346">
        <f ca="1" t="shared" si="75"/>
        <v>0</v>
      </c>
      <c r="I96" s="346">
        <f ca="1" t="shared" si="76"/>
        <v>0</v>
      </c>
      <c r="J96" s="346">
        <f ca="1" t="shared" si="77"/>
        <v>0</v>
      </c>
      <c r="K96" s="346">
        <f ca="1" t="shared" si="78"/>
        <v>0</v>
      </c>
      <c r="L96" s="346">
        <f ca="1" t="shared" si="79"/>
        <v>0</v>
      </c>
      <c r="M96" s="346">
        <f ca="1" t="shared" si="80"/>
        <v>0</v>
      </c>
      <c r="N96" s="346">
        <f ca="1" t="shared" si="81"/>
        <v>24.711077</v>
      </c>
      <c r="O96" s="359">
        <f ca="1" t="shared" si="82"/>
        <v>0</v>
      </c>
    </row>
    <row r="97" s="332" customFormat="1" spans="1:15">
      <c r="A97" s="344" t="s">
        <v>17</v>
      </c>
      <c r="B97" s="346">
        <f ca="1" t="shared" si="69"/>
        <v>11.292264</v>
      </c>
      <c r="C97" s="346">
        <f ca="1" t="shared" si="70"/>
        <v>12.488648</v>
      </c>
      <c r="D97" s="346">
        <f ca="1" t="shared" si="71"/>
        <v>3.968019</v>
      </c>
      <c r="E97" s="346">
        <f ca="1" t="shared" si="72"/>
        <v>11.746742</v>
      </c>
      <c r="F97" s="346">
        <f ca="1" t="shared" si="73"/>
        <v>0</v>
      </c>
      <c r="G97" s="346">
        <f ca="1" t="shared" si="74"/>
        <v>0</v>
      </c>
      <c r="H97" s="346">
        <f ca="1" t="shared" si="75"/>
        <v>0</v>
      </c>
      <c r="I97" s="346">
        <f ca="1" t="shared" si="76"/>
        <v>0</v>
      </c>
      <c r="J97" s="346">
        <f ca="1" t="shared" si="77"/>
        <v>0</v>
      </c>
      <c r="K97" s="346">
        <f ca="1" t="shared" si="78"/>
        <v>0</v>
      </c>
      <c r="L97" s="346">
        <f ca="1" t="shared" si="79"/>
        <v>0</v>
      </c>
      <c r="M97" s="346">
        <f ca="1" t="shared" si="80"/>
        <v>0</v>
      </c>
      <c r="N97" s="346">
        <f ca="1" t="shared" si="81"/>
        <v>39.495673</v>
      </c>
      <c r="O97" s="359">
        <f ca="1" t="shared" si="82"/>
        <v>0</v>
      </c>
    </row>
    <row r="98" s="332" customFormat="1" spans="1:15">
      <c r="A98" s="360" t="s">
        <v>18</v>
      </c>
      <c r="B98" s="346">
        <v>0</v>
      </c>
      <c r="C98" s="346">
        <v>0</v>
      </c>
      <c r="D98" s="346">
        <v>0</v>
      </c>
      <c r="E98" s="346">
        <v>0</v>
      </c>
      <c r="F98" s="346">
        <v>0</v>
      </c>
      <c r="G98" s="346">
        <v>0</v>
      </c>
      <c r="H98" s="346">
        <v>0</v>
      </c>
      <c r="I98" s="346">
        <v>0</v>
      </c>
      <c r="J98" s="346">
        <v>0</v>
      </c>
      <c r="K98" s="346">
        <v>0</v>
      </c>
      <c r="L98" s="346">
        <v>0</v>
      </c>
      <c r="M98" s="346">
        <v>0</v>
      </c>
      <c r="N98" s="346">
        <v>0</v>
      </c>
      <c r="O98" s="359">
        <v>0</v>
      </c>
    </row>
    <row r="99" s="332" customFormat="1" spans="1:15">
      <c r="A99" s="344" t="s">
        <v>19</v>
      </c>
      <c r="B99" s="346">
        <f ca="1" t="shared" ref="B99:B103" si="83">IFERROR(INDIRECT("'Y-"&amp;$A99&amp;"'"&amp;"!"&amp;B$37&amp;"93")/10000,"")</f>
        <v>0.506669</v>
      </c>
      <c r="C99" s="346">
        <f ca="1" t="shared" ref="C99:C103" si="84">IFERROR(INDIRECT("'Y-"&amp;$A99&amp;"'"&amp;"!"&amp;C$37&amp;"93")/10000,"")</f>
        <v>0.506669</v>
      </c>
      <c r="D99" s="346">
        <f ca="1" t="shared" ref="D99:D103" si="85">IFERROR(INDIRECT("'Y-"&amp;$A99&amp;"'"&amp;"!"&amp;D$37&amp;"93")/10000,"")</f>
        <v>0</v>
      </c>
      <c r="E99" s="346">
        <f ca="1" t="shared" ref="E99:E103" si="86">IFERROR(INDIRECT("'Y-"&amp;$A99&amp;"'"&amp;"!"&amp;E$37&amp;"93")/10000,"")</f>
        <v>0</v>
      </c>
      <c r="F99" s="346">
        <f ca="1" t="shared" ref="F99:F103" si="87">IFERROR(INDIRECT("'Y-"&amp;$A99&amp;"'"&amp;"!"&amp;F$37&amp;"93")/10000,"")</f>
        <v>0</v>
      </c>
      <c r="G99" s="346">
        <f ca="1" t="shared" ref="G99:G103" si="88">IFERROR(INDIRECT("'Y-"&amp;$A99&amp;"'"&amp;"!"&amp;G$37&amp;"93")/10000,"")</f>
        <v>0</v>
      </c>
      <c r="H99" s="346">
        <f ca="1" t="shared" ref="H99:H103" si="89">IFERROR(INDIRECT("'Y-"&amp;$A99&amp;"'"&amp;"!"&amp;H$37&amp;"93")/10000,"")</f>
        <v>0</v>
      </c>
      <c r="I99" s="346">
        <f ca="1" t="shared" ref="I99:I103" si="90">IFERROR(INDIRECT("'Y-"&amp;$A99&amp;"'"&amp;"!"&amp;I$37&amp;"93")/10000,"")</f>
        <v>0</v>
      </c>
      <c r="J99" s="346">
        <f ca="1" t="shared" ref="J99:J103" si="91">IFERROR(INDIRECT("'Y-"&amp;$A99&amp;"'"&amp;"!"&amp;J$37&amp;"93")/10000,"")</f>
        <v>0</v>
      </c>
      <c r="K99" s="346">
        <f ca="1" t="shared" ref="K99:K103" si="92">IFERROR(INDIRECT("'Y-"&amp;$A99&amp;"'"&amp;"!"&amp;K$37&amp;"93")/10000,"")</f>
        <v>0</v>
      </c>
      <c r="L99" s="346">
        <f ca="1" t="shared" ref="L99:L103" si="93">IFERROR(INDIRECT("'Y-"&amp;$A99&amp;"'"&amp;"!"&amp;L$37&amp;"93")/10000,"")</f>
        <v>0</v>
      </c>
      <c r="M99" s="346">
        <f ca="1" t="shared" ref="M99:M103" si="94">IFERROR(INDIRECT("'Y-"&amp;$A99&amp;"'"&amp;"!"&amp;M$37&amp;"93")/10000,"")</f>
        <v>0</v>
      </c>
      <c r="N99" s="346">
        <f ca="1" t="shared" ref="N99:N103" si="95">IFERROR(INDIRECT("'Y-"&amp;$A99&amp;"'"&amp;"!"&amp;N$37&amp;"93")/10000,"")</f>
        <v>1.013338</v>
      </c>
      <c r="O99" s="359">
        <f ca="1" t="shared" si="82"/>
        <v>0</v>
      </c>
    </row>
    <row r="100" s="332" customFormat="1" spans="1:15">
      <c r="A100" s="360" t="s">
        <v>20</v>
      </c>
      <c r="B100" s="346">
        <v>0</v>
      </c>
      <c r="C100" s="346">
        <v>0</v>
      </c>
      <c r="D100" s="346">
        <v>0</v>
      </c>
      <c r="E100" s="346">
        <v>0</v>
      </c>
      <c r="F100" s="346">
        <v>0</v>
      </c>
      <c r="G100" s="346">
        <v>0</v>
      </c>
      <c r="H100" s="346">
        <v>0</v>
      </c>
      <c r="I100" s="346">
        <v>0</v>
      </c>
      <c r="J100" s="346">
        <v>0</v>
      </c>
      <c r="K100" s="346">
        <v>0</v>
      </c>
      <c r="L100" s="346">
        <v>0</v>
      </c>
      <c r="M100" s="346">
        <v>0</v>
      </c>
      <c r="N100" s="346">
        <v>0</v>
      </c>
      <c r="O100" s="359">
        <v>0</v>
      </c>
    </row>
    <row r="101" s="332" customFormat="1" spans="1:15">
      <c r="A101" s="344" t="s">
        <v>21</v>
      </c>
      <c r="B101" s="346">
        <f ca="1" t="shared" si="83"/>
        <v>0</v>
      </c>
      <c r="C101" s="346">
        <f ca="1" t="shared" si="84"/>
        <v>0</v>
      </c>
      <c r="D101" s="346">
        <f ca="1" t="shared" si="85"/>
        <v>0</v>
      </c>
      <c r="E101" s="346">
        <f ca="1" t="shared" si="86"/>
        <v>0</v>
      </c>
      <c r="F101" s="346">
        <f ca="1" t="shared" si="87"/>
        <v>0</v>
      </c>
      <c r="G101" s="346">
        <f ca="1" t="shared" si="88"/>
        <v>0</v>
      </c>
      <c r="H101" s="346">
        <f ca="1" t="shared" si="89"/>
        <v>0</v>
      </c>
      <c r="I101" s="346">
        <f ca="1" t="shared" si="90"/>
        <v>0</v>
      </c>
      <c r="J101" s="346">
        <f ca="1" t="shared" si="91"/>
        <v>0</v>
      </c>
      <c r="K101" s="346">
        <f ca="1" t="shared" si="92"/>
        <v>0</v>
      </c>
      <c r="L101" s="346">
        <f ca="1" t="shared" si="93"/>
        <v>0</v>
      </c>
      <c r="M101" s="346">
        <f ca="1" t="shared" si="94"/>
        <v>0</v>
      </c>
      <c r="N101" s="346">
        <f ca="1" t="shared" si="95"/>
        <v>0</v>
      </c>
      <c r="O101" s="359">
        <f ca="1" t="shared" si="82"/>
        <v>0</v>
      </c>
    </row>
    <row r="102" s="332" customFormat="1" spans="1:15">
      <c r="A102" s="344" t="s">
        <v>22</v>
      </c>
      <c r="B102" s="346">
        <f ca="1" t="shared" si="83"/>
        <v>10.568812</v>
      </c>
      <c r="C102" s="346">
        <f ca="1" t="shared" si="84"/>
        <v>9.013706</v>
      </c>
      <c r="D102" s="346">
        <f ca="1" t="shared" si="85"/>
        <v>7.003652</v>
      </c>
      <c r="E102" s="346">
        <f ca="1" t="shared" si="86"/>
        <v>10.075232</v>
      </c>
      <c r="F102" s="346">
        <f ca="1" t="shared" si="87"/>
        <v>0</v>
      </c>
      <c r="G102" s="346">
        <f ca="1" t="shared" si="88"/>
        <v>0</v>
      </c>
      <c r="H102" s="346">
        <f ca="1" t="shared" si="89"/>
        <v>0</v>
      </c>
      <c r="I102" s="346">
        <f ca="1" t="shared" si="90"/>
        <v>0</v>
      </c>
      <c r="J102" s="346">
        <f ca="1" t="shared" si="91"/>
        <v>0</v>
      </c>
      <c r="K102" s="346">
        <f ca="1" t="shared" si="92"/>
        <v>0</v>
      </c>
      <c r="L102" s="346">
        <f ca="1" t="shared" si="93"/>
        <v>0</v>
      </c>
      <c r="M102" s="346">
        <f ca="1" t="shared" si="94"/>
        <v>0</v>
      </c>
      <c r="N102" s="346">
        <f ca="1" t="shared" si="95"/>
        <v>36.661402</v>
      </c>
      <c r="O102" s="359">
        <f ca="1" t="shared" si="82"/>
        <v>0</v>
      </c>
    </row>
    <row r="103" s="332" customFormat="1" spans="1:15">
      <c r="A103" s="344" t="s">
        <v>23</v>
      </c>
      <c r="B103" s="346">
        <f ca="1" t="shared" si="83"/>
        <v>3.957191</v>
      </c>
      <c r="C103" s="346">
        <f ca="1" t="shared" si="84"/>
        <v>8.082845</v>
      </c>
      <c r="D103" s="346">
        <f ca="1" t="shared" si="85"/>
        <v>12.193666</v>
      </c>
      <c r="E103" s="346">
        <f ca="1" t="shared" si="86"/>
        <v>15.831076</v>
      </c>
      <c r="F103" s="346">
        <f ca="1" t="shared" si="87"/>
        <v>0</v>
      </c>
      <c r="G103" s="346">
        <f ca="1" t="shared" si="88"/>
        <v>0</v>
      </c>
      <c r="H103" s="346">
        <f ca="1" t="shared" si="89"/>
        <v>0</v>
      </c>
      <c r="I103" s="346">
        <f ca="1" t="shared" si="90"/>
        <v>0</v>
      </c>
      <c r="J103" s="346">
        <f ca="1" t="shared" si="91"/>
        <v>0</v>
      </c>
      <c r="K103" s="346">
        <f ca="1" t="shared" si="92"/>
        <v>0</v>
      </c>
      <c r="L103" s="346">
        <f ca="1" t="shared" si="93"/>
        <v>0</v>
      </c>
      <c r="M103" s="346">
        <f ca="1" t="shared" si="94"/>
        <v>0</v>
      </c>
      <c r="N103" s="346">
        <f ca="1" t="shared" si="95"/>
        <v>40.064778</v>
      </c>
      <c r="O103" s="359">
        <f ca="1" t="shared" si="82"/>
        <v>0</v>
      </c>
    </row>
    <row r="104" s="332" customFormat="1" spans="1:15">
      <c r="A104" s="360" t="s">
        <v>24</v>
      </c>
      <c r="B104" s="346">
        <v>0</v>
      </c>
      <c r="C104" s="346">
        <v>0</v>
      </c>
      <c r="D104" s="346">
        <v>0</v>
      </c>
      <c r="E104" s="346">
        <v>0</v>
      </c>
      <c r="F104" s="346">
        <v>0</v>
      </c>
      <c r="G104" s="346">
        <v>0</v>
      </c>
      <c r="H104" s="346">
        <v>0</v>
      </c>
      <c r="I104" s="346">
        <v>0</v>
      </c>
      <c r="J104" s="346">
        <v>0</v>
      </c>
      <c r="K104" s="346">
        <v>0</v>
      </c>
      <c r="L104" s="346">
        <v>0</v>
      </c>
      <c r="M104" s="346">
        <v>0</v>
      </c>
      <c r="N104" s="346">
        <v>0</v>
      </c>
      <c r="O104" s="359">
        <v>0</v>
      </c>
    </row>
    <row r="105" s="332" customFormat="1" spans="1:15">
      <c r="A105" s="344" t="s">
        <v>25</v>
      </c>
      <c r="B105" s="346">
        <f ca="1" t="shared" ref="B105:B109" si="96">IFERROR(INDIRECT("'Y-"&amp;$A105&amp;"'"&amp;"!"&amp;B$37&amp;"93")/10000,"")</f>
        <v>0</v>
      </c>
      <c r="C105" s="346">
        <f ca="1" t="shared" ref="C105:C109" si="97">IFERROR(INDIRECT("'Y-"&amp;$A105&amp;"'"&amp;"!"&amp;C$37&amp;"93")/10000,"")</f>
        <v>0</v>
      </c>
      <c r="D105" s="346">
        <f ca="1" t="shared" ref="D105:D109" si="98">IFERROR(INDIRECT("'Y-"&amp;$A105&amp;"'"&amp;"!"&amp;D$37&amp;"93")/10000,"")</f>
        <v>0</v>
      </c>
      <c r="E105" s="346">
        <f ca="1" t="shared" ref="E105:E109" si="99">IFERROR(INDIRECT("'Y-"&amp;$A105&amp;"'"&amp;"!"&amp;E$37&amp;"93")/10000,"")</f>
        <v>0</v>
      </c>
      <c r="F105" s="346">
        <f ca="1" t="shared" ref="F105:F109" si="100">IFERROR(INDIRECT("'Y-"&amp;$A105&amp;"'"&amp;"!"&amp;F$37&amp;"93")/10000,"")</f>
        <v>0</v>
      </c>
      <c r="G105" s="346">
        <f ca="1" t="shared" ref="G105:G109" si="101">IFERROR(INDIRECT("'Y-"&amp;$A105&amp;"'"&amp;"!"&amp;G$37&amp;"93")/10000,"")</f>
        <v>0</v>
      </c>
      <c r="H105" s="346">
        <f ca="1" t="shared" ref="H105:H109" si="102">IFERROR(INDIRECT("'Y-"&amp;$A105&amp;"'"&amp;"!"&amp;H$37&amp;"93")/10000,"")</f>
        <v>0</v>
      </c>
      <c r="I105" s="346">
        <f ca="1" t="shared" ref="I105:I109" si="103">IFERROR(INDIRECT("'Y-"&amp;$A105&amp;"'"&amp;"!"&amp;I$37&amp;"93")/10000,"")</f>
        <v>0</v>
      </c>
      <c r="J105" s="346">
        <f ca="1" t="shared" ref="J105:J109" si="104">IFERROR(INDIRECT("'Y-"&amp;$A105&amp;"'"&amp;"!"&amp;J$37&amp;"93")/10000,"")</f>
        <v>0</v>
      </c>
      <c r="K105" s="346">
        <f ca="1" t="shared" ref="K105:K109" si="105">IFERROR(INDIRECT("'Y-"&amp;$A105&amp;"'"&amp;"!"&amp;K$37&amp;"93")/10000,"")</f>
        <v>0</v>
      </c>
      <c r="L105" s="346">
        <f ca="1" t="shared" ref="L105:L109" si="106">IFERROR(INDIRECT("'Y-"&amp;$A105&amp;"'"&amp;"!"&amp;L$37&amp;"93")/10000,"")</f>
        <v>0</v>
      </c>
      <c r="M105" s="346">
        <f ca="1" t="shared" ref="M105:M109" si="107">IFERROR(INDIRECT("'Y-"&amp;$A105&amp;"'"&amp;"!"&amp;M$37&amp;"93")/10000,"")</f>
        <v>0</v>
      </c>
      <c r="N105" s="346">
        <f ca="1" t="shared" ref="N105:N109" si="108">IFERROR(INDIRECT("'Y-"&amp;$A105&amp;"'"&amp;"!"&amp;N$37&amp;"93")/10000,"")</f>
        <v>0</v>
      </c>
      <c r="O105" s="359">
        <f ca="1" t="shared" si="82"/>
        <v>0</v>
      </c>
    </row>
    <row r="106" s="332" customFormat="1" spans="1:15">
      <c r="A106" s="344" t="s">
        <v>26</v>
      </c>
      <c r="B106" s="346">
        <f ca="1" t="shared" si="96"/>
        <v>424.05431</v>
      </c>
      <c r="C106" s="346">
        <f ca="1" t="shared" si="97"/>
        <v>306.661352</v>
      </c>
      <c r="D106" s="346">
        <f ca="1" t="shared" si="98"/>
        <v>726.268178</v>
      </c>
      <c r="E106" s="346">
        <f ca="1" t="shared" si="99"/>
        <v>777.634137</v>
      </c>
      <c r="F106" s="346">
        <f ca="1" t="shared" si="100"/>
        <v>0</v>
      </c>
      <c r="G106" s="346">
        <f ca="1" t="shared" si="101"/>
        <v>0</v>
      </c>
      <c r="H106" s="346">
        <f ca="1" t="shared" si="102"/>
        <v>0</v>
      </c>
      <c r="I106" s="346">
        <f ca="1" t="shared" si="103"/>
        <v>0</v>
      </c>
      <c r="J106" s="346">
        <f ca="1" t="shared" si="104"/>
        <v>0</v>
      </c>
      <c r="K106" s="346">
        <f ca="1" t="shared" si="105"/>
        <v>0</v>
      </c>
      <c r="L106" s="346">
        <f ca="1" t="shared" si="106"/>
        <v>0</v>
      </c>
      <c r="M106" s="346">
        <f ca="1" t="shared" si="107"/>
        <v>0</v>
      </c>
      <c r="N106" s="346">
        <f ca="1" t="shared" si="108"/>
        <v>2234.617977</v>
      </c>
      <c r="O106" s="359">
        <f ca="1" t="shared" si="82"/>
        <v>0</v>
      </c>
    </row>
    <row r="107" s="332" customFormat="1" spans="1:15">
      <c r="A107" s="360" t="s">
        <v>27</v>
      </c>
      <c r="B107" s="346">
        <v>0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59">
        <v>0</v>
      </c>
    </row>
    <row r="108" s="332" customFormat="1" spans="1:15">
      <c r="A108" s="360" t="s">
        <v>28</v>
      </c>
      <c r="B108" s="346">
        <v>0</v>
      </c>
      <c r="C108" s="346">
        <v>0</v>
      </c>
      <c r="D108" s="346">
        <v>0</v>
      </c>
      <c r="E108" s="346">
        <v>0</v>
      </c>
      <c r="F108" s="346">
        <v>0</v>
      </c>
      <c r="G108" s="346">
        <v>0</v>
      </c>
      <c r="H108" s="346">
        <v>0</v>
      </c>
      <c r="I108" s="346">
        <v>0</v>
      </c>
      <c r="J108" s="346">
        <v>0</v>
      </c>
      <c r="K108" s="346">
        <v>0</v>
      </c>
      <c r="L108" s="346">
        <v>0</v>
      </c>
      <c r="M108" s="346">
        <v>0</v>
      </c>
      <c r="N108" s="346">
        <v>0</v>
      </c>
      <c r="O108" s="359">
        <v>0</v>
      </c>
    </row>
    <row r="109" s="332" customFormat="1" spans="1:15">
      <c r="A109" s="344" t="s">
        <v>29</v>
      </c>
      <c r="B109" s="346">
        <f ca="1" t="shared" si="96"/>
        <v>0</v>
      </c>
      <c r="C109" s="346">
        <f ca="1" t="shared" si="97"/>
        <v>0</v>
      </c>
      <c r="D109" s="346">
        <f ca="1" t="shared" si="98"/>
        <v>0</v>
      </c>
      <c r="E109" s="346">
        <f ca="1" t="shared" si="99"/>
        <v>0</v>
      </c>
      <c r="F109" s="346">
        <f ca="1" t="shared" si="100"/>
        <v>0</v>
      </c>
      <c r="G109" s="346">
        <f ca="1" t="shared" si="101"/>
        <v>0</v>
      </c>
      <c r="H109" s="346">
        <f ca="1" t="shared" si="102"/>
        <v>0</v>
      </c>
      <c r="I109" s="346">
        <f ca="1" t="shared" si="103"/>
        <v>0</v>
      </c>
      <c r="J109" s="346">
        <f ca="1" t="shared" si="104"/>
        <v>0</v>
      </c>
      <c r="K109" s="346">
        <f ca="1" t="shared" si="105"/>
        <v>0</v>
      </c>
      <c r="L109" s="346">
        <f ca="1" t="shared" si="106"/>
        <v>0</v>
      </c>
      <c r="M109" s="346">
        <f ca="1" t="shared" si="107"/>
        <v>0</v>
      </c>
      <c r="N109" s="346">
        <f ca="1" t="shared" si="108"/>
        <v>0</v>
      </c>
      <c r="O109" s="359">
        <f ca="1" t="shared" si="82"/>
        <v>0</v>
      </c>
    </row>
    <row r="110" s="332" customFormat="1" spans="1:15">
      <c r="A110" s="360" t="s">
        <v>30</v>
      </c>
      <c r="B110" s="346">
        <v>0</v>
      </c>
      <c r="C110" s="346">
        <v>0</v>
      </c>
      <c r="D110" s="346">
        <v>0</v>
      </c>
      <c r="E110" s="346">
        <v>0</v>
      </c>
      <c r="F110" s="346">
        <v>0</v>
      </c>
      <c r="G110" s="346">
        <v>0</v>
      </c>
      <c r="H110" s="346">
        <v>0</v>
      </c>
      <c r="I110" s="346">
        <v>0</v>
      </c>
      <c r="J110" s="346">
        <v>0</v>
      </c>
      <c r="K110" s="346">
        <v>0</v>
      </c>
      <c r="L110" s="346">
        <v>0</v>
      </c>
      <c r="M110" s="346">
        <v>0</v>
      </c>
      <c r="N110" s="346">
        <v>0</v>
      </c>
      <c r="O110" s="359">
        <v>0</v>
      </c>
    </row>
    <row r="111" s="332" customFormat="1" spans="1:15">
      <c r="A111" s="344" t="s">
        <v>31</v>
      </c>
      <c r="B111" s="346">
        <f ca="1">IFERROR(INDIRECT("'Y-"&amp;$A111&amp;"'"&amp;"!"&amp;B$37&amp;"93")/10000,"")</f>
        <v>0</v>
      </c>
      <c r="C111" s="346">
        <f ca="1">IFERROR(INDIRECT("'Y-"&amp;$A111&amp;"'"&amp;"!"&amp;C$37&amp;"93")/10000,"")</f>
        <v>0</v>
      </c>
      <c r="D111" s="346">
        <f ca="1">IFERROR(INDIRECT("'Y-"&amp;$A111&amp;"'"&amp;"!"&amp;D$37&amp;"93")/10000,"")</f>
        <v>0</v>
      </c>
      <c r="E111" s="346">
        <f ca="1">IFERROR(INDIRECT("'Y-"&amp;$A111&amp;"'"&amp;"!"&amp;E$37&amp;"93")/10000,"")</f>
        <v>0</v>
      </c>
      <c r="F111" s="346">
        <f ca="1">IFERROR(INDIRECT("'Y-"&amp;$A111&amp;"'"&amp;"!"&amp;F$37&amp;"93")/10000,"")</f>
        <v>0</v>
      </c>
      <c r="G111" s="346">
        <f ca="1">IFERROR(INDIRECT("'Y-"&amp;$A111&amp;"'"&amp;"!"&amp;G$37&amp;"93")/10000,"")</f>
        <v>0</v>
      </c>
      <c r="H111" s="346">
        <f ca="1">IFERROR(INDIRECT("'Y-"&amp;$A111&amp;"'"&amp;"!"&amp;H$37&amp;"93")/10000,"")</f>
        <v>0</v>
      </c>
      <c r="I111" s="346">
        <f ca="1">IFERROR(INDIRECT("'Y-"&amp;$A111&amp;"'"&amp;"!"&amp;I$37&amp;"93")/10000,"")</f>
        <v>0</v>
      </c>
      <c r="J111" s="346">
        <f ca="1">IFERROR(INDIRECT("'Y-"&amp;$A111&amp;"'"&amp;"!"&amp;J$37&amp;"93")/10000,"")</f>
        <v>0</v>
      </c>
      <c r="K111" s="346">
        <f ca="1">IFERROR(INDIRECT("'Y-"&amp;$A111&amp;"'"&amp;"!"&amp;K$37&amp;"93")/10000,"")</f>
        <v>0</v>
      </c>
      <c r="L111" s="346">
        <f ca="1">IFERROR(INDIRECT("'Y-"&amp;$A111&amp;"'"&amp;"!"&amp;L$37&amp;"93")/10000,"")</f>
        <v>0</v>
      </c>
      <c r="M111" s="346">
        <f ca="1">IFERROR(INDIRECT("'Y-"&amp;$A111&amp;"'"&amp;"!"&amp;M$37&amp;"93")/10000,"")</f>
        <v>0</v>
      </c>
      <c r="N111" s="346">
        <f ca="1">IFERROR(INDIRECT("'Y-"&amp;$A111&amp;"'"&amp;"!"&amp;N$37&amp;"93")/10000,"")</f>
        <v>0</v>
      </c>
      <c r="O111" s="359">
        <f ca="1" t="shared" si="82"/>
        <v>0</v>
      </c>
    </row>
    <row r="112" s="332" customFormat="1" spans="1:15">
      <c r="A112" s="344" t="s">
        <v>32</v>
      </c>
      <c r="B112" s="346">
        <f ca="1">IFERROR(INDIRECT("'Y-"&amp;$A112&amp;"'"&amp;"!"&amp;B$37&amp;"93")/10000,"")</f>
        <v>0</v>
      </c>
      <c r="C112" s="346">
        <f ca="1">IFERROR(INDIRECT("'Y-"&amp;$A112&amp;"'"&amp;"!"&amp;C$37&amp;"93")/10000,"")</f>
        <v>0</v>
      </c>
      <c r="D112" s="346">
        <f ca="1">IFERROR(INDIRECT("'Y-"&amp;$A112&amp;"'"&amp;"!"&amp;D$37&amp;"93")/10000,"")</f>
        <v>0</v>
      </c>
      <c r="E112" s="346">
        <f ca="1">IFERROR(INDIRECT("'Y-"&amp;$A112&amp;"'"&amp;"!"&amp;E$37&amp;"93")/10000,"")</f>
        <v>0</v>
      </c>
      <c r="F112" s="346">
        <f ca="1">IFERROR(INDIRECT("'Y-"&amp;$A112&amp;"'"&amp;"!"&amp;F$37&amp;"93")/10000,"")</f>
        <v>0</v>
      </c>
      <c r="G112" s="346">
        <f ca="1">IFERROR(INDIRECT("'Y-"&amp;$A112&amp;"'"&amp;"!"&amp;G$37&amp;"93")/10000,"")</f>
        <v>0</v>
      </c>
      <c r="H112" s="346">
        <f ca="1">IFERROR(INDIRECT("'Y-"&amp;$A112&amp;"'"&amp;"!"&amp;H$37&amp;"93")/10000,"")</f>
        <v>0</v>
      </c>
      <c r="I112" s="346">
        <f ca="1">IFERROR(INDIRECT("'Y-"&amp;$A112&amp;"'"&amp;"!"&amp;I$37&amp;"93")/10000,"")</f>
        <v>0</v>
      </c>
      <c r="J112" s="346">
        <f ca="1">IFERROR(INDIRECT("'Y-"&amp;$A112&amp;"'"&amp;"!"&amp;J$37&amp;"93")/10000,"")</f>
        <v>0</v>
      </c>
      <c r="K112" s="346">
        <f ca="1">IFERROR(INDIRECT("'Y-"&amp;$A112&amp;"'"&amp;"!"&amp;K$37&amp;"93")/10000,"")</f>
        <v>0</v>
      </c>
      <c r="L112" s="346">
        <f ca="1">IFERROR(INDIRECT("'Y-"&amp;$A112&amp;"'"&amp;"!"&amp;L$37&amp;"93")/10000,"")</f>
        <v>0</v>
      </c>
      <c r="M112" s="346">
        <f ca="1">IFERROR(INDIRECT("'Y-"&amp;$A112&amp;"'"&amp;"!"&amp;M$37&amp;"93")/10000,"")</f>
        <v>0</v>
      </c>
      <c r="N112" s="346">
        <f ca="1">IFERROR(INDIRECT("'Y-"&amp;$A112&amp;"'"&amp;"!"&amp;N$37&amp;"93")/10000,"")</f>
        <v>0</v>
      </c>
      <c r="O112" s="359">
        <f ca="1" t="shared" si="82"/>
        <v>0</v>
      </c>
    </row>
    <row r="113" s="332" customFormat="1" spans="1:15">
      <c r="A113" s="360" t="s">
        <v>33</v>
      </c>
      <c r="B113" s="346">
        <v>0</v>
      </c>
      <c r="C113" s="346">
        <v>0</v>
      </c>
      <c r="D113" s="346">
        <v>0</v>
      </c>
      <c r="E113" s="346">
        <v>0</v>
      </c>
      <c r="F113" s="346">
        <v>0</v>
      </c>
      <c r="G113" s="346">
        <v>0</v>
      </c>
      <c r="H113" s="346">
        <v>0</v>
      </c>
      <c r="I113" s="346">
        <v>0</v>
      </c>
      <c r="J113" s="346">
        <v>0</v>
      </c>
      <c r="K113" s="346">
        <v>0</v>
      </c>
      <c r="L113" s="346">
        <v>0</v>
      </c>
      <c r="M113" s="346">
        <v>0</v>
      </c>
      <c r="N113" s="346">
        <v>0</v>
      </c>
      <c r="O113" s="359">
        <v>0</v>
      </c>
    </row>
    <row r="114" s="332" customFormat="1" spans="1:15">
      <c r="A114" s="360" t="s">
        <v>34</v>
      </c>
      <c r="B114" s="346">
        <v>0</v>
      </c>
      <c r="C114" s="346">
        <v>0</v>
      </c>
      <c r="D114" s="346">
        <v>0</v>
      </c>
      <c r="E114" s="346">
        <v>0</v>
      </c>
      <c r="F114" s="346">
        <v>0</v>
      </c>
      <c r="G114" s="346">
        <v>0</v>
      </c>
      <c r="H114" s="346">
        <v>0</v>
      </c>
      <c r="I114" s="346">
        <v>0</v>
      </c>
      <c r="J114" s="346">
        <v>0</v>
      </c>
      <c r="K114" s="346">
        <v>0</v>
      </c>
      <c r="L114" s="346">
        <v>0</v>
      </c>
      <c r="M114" s="346">
        <v>0</v>
      </c>
      <c r="N114" s="346">
        <v>0</v>
      </c>
      <c r="O114" s="359">
        <v>0</v>
      </c>
    </row>
    <row r="115" s="332" customFormat="1" spans="1:15">
      <c r="A115" s="360" t="s">
        <v>35</v>
      </c>
      <c r="B115" s="346">
        <v>0</v>
      </c>
      <c r="C115" s="346">
        <v>0</v>
      </c>
      <c r="D115" s="346">
        <v>0</v>
      </c>
      <c r="E115" s="346">
        <v>0</v>
      </c>
      <c r="F115" s="346">
        <v>0</v>
      </c>
      <c r="G115" s="346">
        <v>0</v>
      </c>
      <c r="H115" s="346">
        <v>0</v>
      </c>
      <c r="I115" s="346">
        <v>0</v>
      </c>
      <c r="J115" s="346">
        <v>0</v>
      </c>
      <c r="K115" s="346">
        <v>0</v>
      </c>
      <c r="L115" s="346">
        <v>0</v>
      </c>
      <c r="M115" s="346">
        <v>0</v>
      </c>
      <c r="N115" s="346">
        <v>0</v>
      </c>
      <c r="O115" s="359">
        <v>0</v>
      </c>
    </row>
    <row r="116" s="332" customFormat="1" spans="1:15">
      <c r="A116" s="360" t="s">
        <v>36</v>
      </c>
      <c r="B116" s="346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59">
        <v>0</v>
      </c>
    </row>
    <row r="117" s="332" customFormat="1" spans="1:15">
      <c r="A117" s="347" t="s">
        <v>12</v>
      </c>
      <c r="B117" s="346">
        <f ca="1" t="shared" ref="B117:N117" si="109">SUM(B94:B116)</f>
        <v>794.388211</v>
      </c>
      <c r="C117" s="346">
        <f ca="1" t="shared" si="109"/>
        <v>625.240615</v>
      </c>
      <c r="D117" s="346">
        <f ca="1" t="shared" si="109"/>
        <v>1157.613349</v>
      </c>
      <c r="E117" s="346">
        <f ca="1" t="shared" si="109"/>
        <v>1404.175918</v>
      </c>
      <c r="F117" s="346">
        <f ca="1" t="shared" si="109"/>
        <v>0</v>
      </c>
      <c r="G117" s="346">
        <f ca="1" t="shared" si="109"/>
        <v>0</v>
      </c>
      <c r="H117" s="346">
        <f ca="1" t="shared" si="109"/>
        <v>0</v>
      </c>
      <c r="I117" s="346">
        <f ca="1" t="shared" si="109"/>
        <v>0</v>
      </c>
      <c r="J117" s="346">
        <f ca="1" t="shared" si="109"/>
        <v>0</v>
      </c>
      <c r="K117" s="346">
        <f ca="1" t="shared" si="109"/>
        <v>0</v>
      </c>
      <c r="L117" s="346">
        <f ca="1" t="shared" si="109"/>
        <v>0</v>
      </c>
      <c r="M117" s="346">
        <f ca="1" t="shared" si="109"/>
        <v>0</v>
      </c>
      <c r="N117" s="346">
        <f ca="1" t="shared" si="109"/>
        <v>3981.418093</v>
      </c>
      <c r="O117" s="359">
        <f ca="1" t="shared" si="82"/>
        <v>0</v>
      </c>
    </row>
    <row r="120" ht="15" spans="1:15">
      <c r="A120" s="343" t="s">
        <v>61</v>
      </c>
      <c r="B120" s="343"/>
      <c r="C120" s="343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56" t="s">
        <v>10</v>
      </c>
    </row>
    <row r="121" spans="1:15">
      <c r="A121" s="344" t="s">
        <v>11</v>
      </c>
      <c r="B121" s="345">
        <v>43831</v>
      </c>
      <c r="C121" s="345">
        <v>43862</v>
      </c>
      <c r="D121" s="345">
        <v>43891</v>
      </c>
      <c r="E121" s="345">
        <v>43922</v>
      </c>
      <c r="F121" s="345">
        <v>43952</v>
      </c>
      <c r="G121" s="345">
        <v>43983</v>
      </c>
      <c r="H121" s="345">
        <v>44013</v>
      </c>
      <c r="I121" s="345">
        <v>44044</v>
      </c>
      <c r="J121" s="345">
        <v>44075</v>
      </c>
      <c r="K121" s="345">
        <v>44105</v>
      </c>
      <c r="L121" s="345">
        <v>44136</v>
      </c>
      <c r="M121" s="345">
        <v>44166</v>
      </c>
      <c r="N121" s="357" t="s">
        <v>12</v>
      </c>
      <c r="O121" s="358" t="s">
        <v>13</v>
      </c>
    </row>
    <row r="122" spans="1:15">
      <c r="A122" s="344" t="s">
        <v>14</v>
      </c>
      <c r="B122" s="346">
        <f ca="1">IFERROR(INDIRECT("'C-"&amp;$A122&amp;"'"&amp;"!"&amp;A$37&amp;"13")/10000,"")</f>
        <v>143.138213</v>
      </c>
      <c r="C122" s="346">
        <f ca="1" t="shared" ref="C122:N122" si="110">IFERROR(INDIRECT("'C-"&amp;$A122&amp;"'"&amp;"!"&amp;B$37&amp;"13")/10000,"")</f>
        <v>-63.286512</v>
      </c>
      <c r="D122" s="346">
        <f ca="1" t="shared" si="110"/>
        <v>-2.78460100000002</v>
      </c>
      <c r="E122" s="346">
        <f ca="1" t="shared" si="110"/>
        <v>30.659246</v>
      </c>
      <c r="F122" s="346">
        <f ca="1" t="shared" si="110"/>
        <v>0</v>
      </c>
      <c r="G122" s="346">
        <f ca="1" t="shared" si="110"/>
        <v>0</v>
      </c>
      <c r="H122" s="346">
        <f ca="1" t="shared" si="110"/>
        <v>0</v>
      </c>
      <c r="I122" s="346">
        <f ca="1" t="shared" si="110"/>
        <v>0</v>
      </c>
      <c r="J122" s="346">
        <f ca="1" t="shared" si="110"/>
        <v>0</v>
      </c>
      <c r="K122" s="346">
        <f ca="1" t="shared" si="110"/>
        <v>0</v>
      </c>
      <c r="L122" s="346">
        <f ca="1" t="shared" si="110"/>
        <v>0</v>
      </c>
      <c r="M122" s="346">
        <f ca="1" t="shared" si="110"/>
        <v>0</v>
      </c>
      <c r="N122" s="346">
        <f ca="1" t="shared" si="110"/>
        <v>107.726346</v>
      </c>
      <c r="O122" s="359">
        <f ca="1" t="shared" ref="O122:O145" si="111">IFERROR(SUM(B122:M122)-N122,"")</f>
        <v>0</v>
      </c>
    </row>
    <row r="123" spans="1:15">
      <c r="A123" s="344" t="s">
        <v>15</v>
      </c>
      <c r="B123" s="346">
        <f ca="1" t="shared" ref="B123:B144" si="112">IFERROR(INDIRECT("'C-"&amp;$A123&amp;"'"&amp;"!"&amp;A$37&amp;"13")/10000,"")</f>
        <v>0.42066</v>
      </c>
      <c r="C123" s="346">
        <f ca="1" t="shared" ref="C123:N123" si="113">IFERROR(INDIRECT("'C-"&amp;$A123&amp;"'"&amp;"!"&amp;B$37&amp;"13")/10000,"")</f>
        <v>-0.54541</v>
      </c>
      <c r="D123" s="346">
        <f ca="1" t="shared" si="113"/>
        <v>-0.55929</v>
      </c>
      <c r="E123" s="346">
        <f ca="1" t="shared" si="113"/>
        <v>0.42684</v>
      </c>
      <c r="F123" s="346">
        <f ca="1" t="shared" si="113"/>
        <v>0</v>
      </c>
      <c r="G123" s="346">
        <f ca="1" t="shared" si="113"/>
        <v>0</v>
      </c>
      <c r="H123" s="346">
        <f ca="1" t="shared" si="113"/>
        <v>0</v>
      </c>
      <c r="I123" s="346">
        <f ca="1" t="shared" si="113"/>
        <v>0</v>
      </c>
      <c r="J123" s="346">
        <f ca="1" t="shared" si="113"/>
        <v>0</v>
      </c>
      <c r="K123" s="346">
        <f ca="1" t="shared" si="113"/>
        <v>0</v>
      </c>
      <c r="L123" s="346">
        <f ca="1" t="shared" si="113"/>
        <v>0</v>
      </c>
      <c r="M123" s="346">
        <f ca="1" t="shared" si="113"/>
        <v>0</v>
      </c>
      <c r="N123" s="346">
        <f ca="1" t="shared" si="113"/>
        <v>-0.2572</v>
      </c>
      <c r="O123" s="359">
        <f ca="1" t="shared" si="111"/>
        <v>0</v>
      </c>
    </row>
    <row r="124" spans="1:15">
      <c r="A124" s="344" t="s">
        <v>16</v>
      </c>
      <c r="B124" s="346">
        <f ca="1" t="shared" si="112"/>
        <v>0.0478</v>
      </c>
      <c r="C124" s="346">
        <f ca="1" t="shared" ref="C124:N124" si="114">IFERROR(INDIRECT("'C-"&amp;$A124&amp;"'"&amp;"!"&amp;B$37&amp;"13")/10000,"")</f>
        <v>0.0238</v>
      </c>
      <c r="D124" s="346">
        <f ca="1" t="shared" si="114"/>
        <v>-0.016989</v>
      </c>
      <c r="E124" s="346">
        <f ca="1" t="shared" si="114"/>
        <v>0.0364</v>
      </c>
      <c r="F124" s="346">
        <f ca="1" t="shared" si="114"/>
        <v>0</v>
      </c>
      <c r="G124" s="346">
        <f ca="1" t="shared" si="114"/>
        <v>0</v>
      </c>
      <c r="H124" s="346">
        <f ca="1" t="shared" si="114"/>
        <v>0</v>
      </c>
      <c r="I124" s="346">
        <f ca="1" t="shared" si="114"/>
        <v>0</v>
      </c>
      <c r="J124" s="346">
        <f ca="1" t="shared" si="114"/>
        <v>0</v>
      </c>
      <c r="K124" s="346">
        <f ca="1" t="shared" si="114"/>
        <v>0</v>
      </c>
      <c r="L124" s="346">
        <f ca="1" t="shared" si="114"/>
        <v>0</v>
      </c>
      <c r="M124" s="346">
        <f ca="1" t="shared" si="114"/>
        <v>0</v>
      </c>
      <c r="N124" s="346">
        <f ca="1" t="shared" si="114"/>
        <v>0.091011</v>
      </c>
      <c r="O124" s="359">
        <f ca="1" t="shared" si="111"/>
        <v>0</v>
      </c>
    </row>
    <row r="125" spans="1:15">
      <c r="A125" s="344" t="s">
        <v>17</v>
      </c>
      <c r="B125" s="346">
        <f ca="1" t="shared" si="112"/>
        <v>14.210775</v>
      </c>
      <c r="C125" s="346">
        <f ca="1" t="shared" ref="C125:N125" si="115">IFERROR(INDIRECT("'C-"&amp;$A125&amp;"'"&amp;"!"&amp;B$37&amp;"13")/10000,"")</f>
        <v>4.771408</v>
      </c>
      <c r="D125" s="346">
        <f ca="1" t="shared" si="115"/>
        <v>6.563271</v>
      </c>
      <c r="E125" s="346">
        <f ca="1" t="shared" si="115"/>
        <v>3.4778</v>
      </c>
      <c r="F125" s="346">
        <f ca="1" t="shared" si="115"/>
        <v>0</v>
      </c>
      <c r="G125" s="346">
        <f ca="1" t="shared" si="115"/>
        <v>0</v>
      </c>
      <c r="H125" s="346">
        <f ca="1" t="shared" si="115"/>
        <v>0</v>
      </c>
      <c r="I125" s="346">
        <f ca="1" t="shared" si="115"/>
        <v>0</v>
      </c>
      <c r="J125" s="346">
        <f ca="1" t="shared" si="115"/>
        <v>0</v>
      </c>
      <c r="K125" s="346">
        <f ca="1" t="shared" si="115"/>
        <v>0</v>
      </c>
      <c r="L125" s="346">
        <f ca="1" t="shared" si="115"/>
        <v>0</v>
      </c>
      <c r="M125" s="346">
        <f ca="1" t="shared" si="115"/>
        <v>0</v>
      </c>
      <c r="N125" s="346">
        <f ca="1" t="shared" si="115"/>
        <v>29.023254</v>
      </c>
      <c r="O125" s="359">
        <f ca="1" t="shared" si="111"/>
        <v>0</v>
      </c>
    </row>
    <row r="126" spans="1:15">
      <c r="A126" s="344" t="s">
        <v>18</v>
      </c>
      <c r="B126" s="346">
        <f ca="1" t="shared" si="112"/>
        <v>11.646403</v>
      </c>
      <c r="C126" s="346">
        <f ca="1" t="shared" ref="C126:N126" si="116">IFERROR(INDIRECT("'C-"&amp;$A126&amp;"'"&amp;"!"&amp;B$37&amp;"13")/10000,"")</f>
        <v>-17.671365</v>
      </c>
      <c r="D126" s="346">
        <f ca="1" t="shared" si="116"/>
        <v>-28.069312</v>
      </c>
      <c r="E126" s="346">
        <f ca="1" t="shared" si="116"/>
        <v>11.452915</v>
      </c>
      <c r="F126" s="346">
        <f ca="1" t="shared" si="116"/>
        <v>0</v>
      </c>
      <c r="G126" s="346">
        <f ca="1" t="shared" si="116"/>
        <v>0</v>
      </c>
      <c r="H126" s="346">
        <f ca="1" t="shared" si="116"/>
        <v>0</v>
      </c>
      <c r="I126" s="346">
        <f ca="1" t="shared" si="116"/>
        <v>0</v>
      </c>
      <c r="J126" s="346">
        <f ca="1" t="shared" si="116"/>
        <v>0</v>
      </c>
      <c r="K126" s="346">
        <f ca="1" t="shared" si="116"/>
        <v>0</v>
      </c>
      <c r="L126" s="346">
        <f ca="1" t="shared" si="116"/>
        <v>0</v>
      </c>
      <c r="M126" s="346">
        <f ca="1" t="shared" si="116"/>
        <v>0</v>
      </c>
      <c r="N126" s="346">
        <f ca="1" t="shared" si="116"/>
        <v>-22.641359</v>
      </c>
      <c r="O126" s="359">
        <f ca="1" t="shared" si="111"/>
        <v>0</v>
      </c>
    </row>
    <row r="127" spans="1:15">
      <c r="A127" s="344" t="s">
        <v>19</v>
      </c>
      <c r="B127" s="346">
        <f ca="1" t="shared" si="112"/>
        <v>0.0008</v>
      </c>
      <c r="C127" s="346">
        <f ca="1" t="shared" ref="C127:N127" si="117">IFERROR(INDIRECT("'C-"&amp;$A127&amp;"'"&amp;"!"&amp;B$37&amp;"13")/10000,"")</f>
        <v>0.0004</v>
      </c>
      <c r="D127" s="346">
        <f ca="1" t="shared" si="117"/>
        <v>-0.08615</v>
      </c>
      <c r="E127" s="346">
        <f ca="1" t="shared" si="117"/>
        <v>0.0204</v>
      </c>
      <c r="F127" s="346">
        <f ca="1" t="shared" si="117"/>
        <v>0</v>
      </c>
      <c r="G127" s="346">
        <f ca="1" t="shared" si="117"/>
        <v>0</v>
      </c>
      <c r="H127" s="346">
        <f ca="1" t="shared" si="117"/>
        <v>0</v>
      </c>
      <c r="I127" s="346">
        <f ca="1" t="shared" si="117"/>
        <v>0</v>
      </c>
      <c r="J127" s="346">
        <f ca="1" t="shared" si="117"/>
        <v>0</v>
      </c>
      <c r="K127" s="346">
        <f ca="1" t="shared" si="117"/>
        <v>0</v>
      </c>
      <c r="L127" s="346">
        <f ca="1" t="shared" si="117"/>
        <v>0</v>
      </c>
      <c r="M127" s="346">
        <f ca="1" t="shared" si="117"/>
        <v>0</v>
      </c>
      <c r="N127" s="346">
        <f ca="1" t="shared" si="117"/>
        <v>-0.06455</v>
      </c>
      <c r="O127" s="359">
        <f ca="1" t="shared" si="111"/>
        <v>0</v>
      </c>
    </row>
    <row r="128" spans="1:15">
      <c r="A128" s="344" t="s">
        <v>20</v>
      </c>
      <c r="B128" s="346">
        <f ca="1" t="shared" si="112"/>
        <v>0.0047</v>
      </c>
      <c r="C128" s="346">
        <f ca="1" t="shared" ref="C128:N128" si="118">IFERROR(INDIRECT("'C-"&amp;$A128&amp;"'"&amp;"!"&amp;B$37&amp;"13")/10000,"")</f>
        <v>0.003</v>
      </c>
      <c r="D128" s="346">
        <f ca="1" t="shared" si="118"/>
        <v>0.012464</v>
      </c>
      <c r="E128" s="346">
        <f ca="1" t="shared" si="118"/>
        <v>0.0342</v>
      </c>
      <c r="F128" s="346">
        <f ca="1" t="shared" si="118"/>
        <v>0</v>
      </c>
      <c r="G128" s="346">
        <f ca="1" t="shared" si="118"/>
        <v>0</v>
      </c>
      <c r="H128" s="346">
        <f ca="1" t="shared" si="118"/>
        <v>0</v>
      </c>
      <c r="I128" s="346">
        <f ca="1" t="shared" si="118"/>
        <v>0</v>
      </c>
      <c r="J128" s="346">
        <f ca="1" t="shared" si="118"/>
        <v>0</v>
      </c>
      <c r="K128" s="346">
        <f ca="1" t="shared" si="118"/>
        <v>0</v>
      </c>
      <c r="L128" s="346">
        <f ca="1" t="shared" si="118"/>
        <v>0</v>
      </c>
      <c r="M128" s="346">
        <f ca="1" t="shared" si="118"/>
        <v>0</v>
      </c>
      <c r="N128" s="346">
        <f ca="1" t="shared" si="118"/>
        <v>0.054364</v>
      </c>
      <c r="O128" s="359">
        <f ca="1" t="shared" si="111"/>
        <v>0</v>
      </c>
    </row>
    <row r="129" spans="1:15">
      <c r="A129" s="344" t="s">
        <v>21</v>
      </c>
      <c r="B129" s="346">
        <f ca="1" t="shared" si="112"/>
        <v>0.0034</v>
      </c>
      <c r="C129" s="346">
        <f ca="1" t="shared" ref="C129:N129" si="119">IFERROR(INDIRECT("'C-"&amp;$A129&amp;"'"&amp;"!"&amp;B$37&amp;"13")/10000,"")</f>
        <v>0.00322</v>
      </c>
      <c r="D129" s="346">
        <f ca="1" t="shared" si="119"/>
        <v>-0.161172</v>
      </c>
      <c r="E129" s="346">
        <f ca="1" t="shared" si="119"/>
        <v>0.02304</v>
      </c>
      <c r="F129" s="346">
        <f ca="1" t="shared" si="119"/>
        <v>0</v>
      </c>
      <c r="G129" s="346">
        <f ca="1" t="shared" si="119"/>
        <v>0</v>
      </c>
      <c r="H129" s="346">
        <f ca="1" t="shared" si="119"/>
        <v>0</v>
      </c>
      <c r="I129" s="346">
        <f ca="1" t="shared" si="119"/>
        <v>0</v>
      </c>
      <c r="J129" s="346">
        <f ca="1" t="shared" si="119"/>
        <v>0</v>
      </c>
      <c r="K129" s="346">
        <f ca="1" t="shared" si="119"/>
        <v>0</v>
      </c>
      <c r="L129" s="346">
        <f ca="1" t="shared" si="119"/>
        <v>0</v>
      </c>
      <c r="M129" s="346">
        <f ca="1" t="shared" si="119"/>
        <v>0</v>
      </c>
      <c r="N129" s="346">
        <f ca="1" t="shared" si="119"/>
        <v>-0.131512</v>
      </c>
      <c r="O129" s="359">
        <f ca="1" t="shared" si="111"/>
        <v>0</v>
      </c>
    </row>
    <row r="130" spans="1:15">
      <c r="A130" s="344" t="s">
        <v>22</v>
      </c>
      <c r="B130" s="346">
        <f ca="1" t="shared" si="112"/>
        <v>45.242513</v>
      </c>
      <c r="C130" s="346">
        <f ca="1" t="shared" ref="C130:N130" si="120">IFERROR(INDIRECT("'C-"&amp;$A130&amp;"'"&amp;"!"&amp;B$37&amp;"13")/10000,"")</f>
        <v>43.252785</v>
      </c>
      <c r="D130" s="346">
        <f ca="1" t="shared" si="120"/>
        <v>46.071177</v>
      </c>
      <c r="E130" s="346">
        <f ca="1" t="shared" si="120"/>
        <v>36.851721</v>
      </c>
      <c r="F130" s="346">
        <f ca="1" t="shared" si="120"/>
        <v>0</v>
      </c>
      <c r="G130" s="346">
        <f ca="1" t="shared" si="120"/>
        <v>0</v>
      </c>
      <c r="H130" s="346">
        <f ca="1" t="shared" si="120"/>
        <v>0</v>
      </c>
      <c r="I130" s="346">
        <f ca="1" t="shared" si="120"/>
        <v>0</v>
      </c>
      <c r="J130" s="346">
        <f ca="1" t="shared" si="120"/>
        <v>0</v>
      </c>
      <c r="K130" s="346">
        <f ca="1" t="shared" si="120"/>
        <v>0</v>
      </c>
      <c r="L130" s="346">
        <f ca="1" t="shared" si="120"/>
        <v>0</v>
      </c>
      <c r="M130" s="346">
        <f ca="1" t="shared" si="120"/>
        <v>0</v>
      </c>
      <c r="N130" s="346">
        <f ca="1" t="shared" si="120"/>
        <v>171.418196</v>
      </c>
      <c r="O130" s="359">
        <f ca="1" t="shared" si="111"/>
        <v>0</v>
      </c>
    </row>
    <row r="131" spans="1:15">
      <c r="A131" s="344" t="s">
        <v>23</v>
      </c>
      <c r="B131" s="346">
        <f ca="1" t="shared" si="112"/>
        <v>63.404385</v>
      </c>
      <c r="C131" s="346">
        <f ca="1" t="shared" ref="C131:N131" si="121">IFERROR(INDIRECT("'C-"&amp;$A131&amp;"'"&amp;"!"&amp;B$37&amp;"13")/10000,"")</f>
        <v>50.489492</v>
      </c>
      <c r="D131" s="346">
        <f ca="1" t="shared" si="121"/>
        <v>64.172476</v>
      </c>
      <c r="E131" s="346">
        <f ca="1" t="shared" si="121"/>
        <v>54.536516</v>
      </c>
      <c r="F131" s="346">
        <f ca="1" t="shared" si="121"/>
        <v>0</v>
      </c>
      <c r="G131" s="346">
        <f ca="1" t="shared" si="121"/>
        <v>0</v>
      </c>
      <c r="H131" s="346">
        <f ca="1" t="shared" si="121"/>
        <v>0</v>
      </c>
      <c r="I131" s="346">
        <f ca="1" t="shared" si="121"/>
        <v>0</v>
      </c>
      <c r="J131" s="346">
        <f ca="1" t="shared" si="121"/>
        <v>0</v>
      </c>
      <c r="K131" s="346">
        <f ca="1" t="shared" si="121"/>
        <v>0</v>
      </c>
      <c r="L131" s="346">
        <f ca="1" t="shared" si="121"/>
        <v>0</v>
      </c>
      <c r="M131" s="346">
        <f ca="1" t="shared" si="121"/>
        <v>0</v>
      </c>
      <c r="N131" s="346">
        <f ca="1" t="shared" si="121"/>
        <v>232.602869</v>
      </c>
      <c r="O131" s="359">
        <f ca="1" t="shared" si="111"/>
        <v>0</v>
      </c>
    </row>
    <row r="132" spans="1:15">
      <c r="A132" s="344" t="s">
        <v>24</v>
      </c>
      <c r="B132" s="346">
        <f ca="1" t="shared" si="112"/>
        <v>0.0044</v>
      </c>
      <c r="C132" s="346">
        <f ca="1" t="shared" ref="C132:N132" si="122">IFERROR(INDIRECT("'C-"&amp;$A132&amp;"'"&amp;"!"&amp;B$37&amp;"13")/10000,"")</f>
        <v>0.0105</v>
      </c>
      <c r="D132" s="346">
        <f ca="1" t="shared" si="122"/>
        <v>0.057141</v>
      </c>
      <c r="E132" s="346">
        <f ca="1" t="shared" si="122"/>
        <v>0.198248</v>
      </c>
      <c r="F132" s="346">
        <f ca="1" t="shared" si="122"/>
        <v>0</v>
      </c>
      <c r="G132" s="346">
        <f ca="1" t="shared" si="122"/>
        <v>0</v>
      </c>
      <c r="H132" s="346">
        <f ca="1" t="shared" si="122"/>
        <v>0</v>
      </c>
      <c r="I132" s="346">
        <f ca="1" t="shared" si="122"/>
        <v>0</v>
      </c>
      <c r="J132" s="346">
        <f ca="1" t="shared" si="122"/>
        <v>0</v>
      </c>
      <c r="K132" s="346">
        <f ca="1" t="shared" si="122"/>
        <v>0</v>
      </c>
      <c r="L132" s="346">
        <f ca="1" t="shared" si="122"/>
        <v>0</v>
      </c>
      <c r="M132" s="346">
        <f ca="1" t="shared" si="122"/>
        <v>0</v>
      </c>
      <c r="N132" s="346">
        <f ca="1" t="shared" si="122"/>
        <v>0.270289</v>
      </c>
      <c r="O132" s="359">
        <f ca="1" t="shared" si="111"/>
        <v>0</v>
      </c>
    </row>
    <row r="133" spans="1:15">
      <c r="A133" s="344" t="s">
        <v>25</v>
      </c>
      <c r="B133" s="346">
        <f ca="1" t="shared" si="112"/>
        <v>14.3066</v>
      </c>
      <c r="C133" s="346">
        <f ca="1" t="shared" ref="C133:N133" si="123">IFERROR(INDIRECT("'C-"&amp;$A133&amp;"'"&amp;"!"&amp;B$37&amp;"13")/10000,"")</f>
        <v>13.3819</v>
      </c>
      <c r="D133" s="346">
        <f ca="1" t="shared" si="123"/>
        <v>14.406344</v>
      </c>
      <c r="E133" s="346">
        <f ca="1" t="shared" si="123"/>
        <v>13.833982</v>
      </c>
      <c r="F133" s="346">
        <f ca="1" t="shared" si="123"/>
        <v>0</v>
      </c>
      <c r="G133" s="346">
        <f ca="1" t="shared" si="123"/>
        <v>0</v>
      </c>
      <c r="H133" s="346">
        <f ca="1" t="shared" si="123"/>
        <v>0</v>
      </c>
      <c r="I133" s="346">
        <f ca="1" t="shared" si="123"/>
        <v>0</v>
      </c>
      <c r="J133" s="346">
        <f ca="1" t="shared" si="123"/>
        <v>0</v>
      </c>
      <c r="K133" s="346">
        <f ca="1" t="shared" si="123"/>
        <v>0</v>
      </c>
      <c r="L133" s="346">
        <f ca="1" t="shared" si="123"/>
        <v>0</v>
      </c>
      <c r="M133" s="346">
        <f ca="1" t="shared" si="123"/>
        <v>0</v>
      </c>
      <c r="N133" s="346">
        <f ca="1" t="shared" si="123"/>
        <v>55.928826</v>
      </c>
      <c r="O133" s="359">
        <f ca="1" t="shared" si="111"/>
        <v>0</v>
      </c>
    </row>
    <row r="134" spans="1:15">
      <c r="A134" s="344" t="s">
        <v>26</v>
      </c>
      <c r="B134" s="346">
        <f ca="1" t="shared" si="112"/>
        <v>98.25808</v>
      </c>
      <c r="C134" s="346">
        <f ca="1" t="shared" ref="C134:N134" si="124">IFERROR(INDIRECT("'C-"&amp;$A134&amp;"'"&amp;"!"&amp;B$37&amp;"13")/10000,"")</f>
        <v>71.632463</v>
      </c>
      <c r="D134" s="346">
        <f ca="1" t="shared" si="124"/>
        <v>278.578645</v>
      </c>
      <c r="E134" s="346">
        <f ca="1" t="shared" si="124"/>
        <v>109.322403</v>
      </c>
      <c r="F134" s="346">
        <f ca="1" t="shared" si="124"/>
        <v>0</v>
      </c>
      <c r="G134" s="346">
        <f ca="1" t="shared" si="124"/>
        <v>0</v>
      </c>
      <c r="H134" s="346">
        <f ca="1" t="shared" si="124"/>
        <v>0</v>
      </c>
      <c r="I134" s="346">
        <f ca="1" t="shared" si="124"/>
        <v>0</v>
      </c>
      <c r="J134" s="346">
        <f ca="1" t="shared" si="124"/>
        <v>0</v>
      </c>
      <c r="K134" s="346">
        <f ca="1" t="shared" si="124"/>
        <v>0</v>
      </c>
      <c r="L134" s="346">
        <f ca="1" t="shared" si="124"/>
        <v>0</v>
      </c>
      <c r="M134" s="346">
        <f ca="1" t="shared" si="124"/>
        <v>0</v>
      </c>
      <c r="N134" s="346">
        <f ca="1" t="shared" si="124"/>
        <v>557.791591</v>
      </c>
      <c r="O134" s="359">
        <f ca="1" t="shared" si="111"/>
        <v>0</v>
      </c>
    </row>
    <row r="135" spans="1:15">
      <c r="A135" s="344" t="s">
        <v>27</v>
      </c>
      <c r="B135" s="346">
        <f ca="1" t="shared" si="112"/>
        <v>101.423099</v>
      </c>
      <c r="C135" s="346">
        <f ca="1" t="shared" ref="C135:N135" si="125">IFERROR(INDIRECT("'C-"&amp;$A135&amp;"'"&amp;"!"&amp;B$37&amp;"13")/10000,"")</f>
        <v>106.346965</v>
      </c>
      <c r="D135" s="346">
        <f ca="1" t="shared" si="125"/>
        <v>61.727847</v>
      </c>
      <c r="E135" s="346">
        <f ca="1" t="shared" si="125"/>
        <v>184.771219</v>
      </c>
      <c r="F135" s="346">
        <f ca="1" t="shared" si="125"/>
        <v>0</v>
      </c>
      <c r="G135" s="346">
        <f ca="1" t="shared" si="125"/>
        <v>0</v>
      </c>
      <c r="H135" s="346">
        <f ca="1" t="shared" si="125"/>
        <v>0</v>
      </c>
      <c r="I135" s="346">
        <f ca="1" t="shared" si="125"/>
        <v>0</v>
      </c>
      <c r="J135" s="346">
        <f ca="1" t="shared" si="125"/>
        <v>0</v>
      </c>
      <c r="K135" s="346">
        <f ca="1" t="shared" si="125"/>
        <v>0</v>
      </c>
      <c r="L135" s="346">
        <f ca="1" t="shared" si="125"/>
        <v>0</v>
      </c>
      <c r="M135" s="346">
        <f ca="1" t="shared" si="125"/>
        <v>0</v>
      </c>
      <c r="N135" s="346">
        <f ca="1" t="shared" si="125"/>
        <v>454.26913</v>
      </c>
      <c r="O135" s="359">
        <f ca="1" t="shared" si="111"/>
        <v>0</v>
      </c>
    </row>
    <row r="136" spans="1:15">
      <c r="A136" s="344" t="s">
        <v>28</v>
      </c>
      <c r="B136" s="346">
        <f ca="1" t="shared" si="112"/>
        <v>7.974968</v>
      </c>
      <c r="C136" s="346">
        <f ca="1" t="shared" ref="C136:N136" si="126">IFERROR(INDIRECT("'C-"&amp;$A136&amp;"'"&amp;"!"&amp;B$37&amp;"13")/10000,"")</f>
        <v>-5.000215</v>
      </c>
      <c r="D136" s="346">
        <f ca="1" t="shared" si="126"/>
        <v>-5.128974</v>
      </c>
      <c r="E136" s="346">
        <f ca="1" t="shared" si="126"/>
        <v>2.352221</v>
      </c>
      <c r="F136" s="346">
        <f ca="1" t="shared" si="126"/>
        <v>0</v>
      </c>
      <c r="G136" s="346">
        <f ca="1" t="shared" si="126"/>
        <v>0</v>
      </c>
      <c r="H136" s="346">
        <f ca="1" t="shared" si="126"/>
        <v>0</v>
      </c>
      <c r="I136" s="346">
        <f ca="1" t="shared" si="126"/>
        <v>0</v>
      </c>
      <c r="J136" s="346">
        <f ca="1" t="shared" si="126"/>
        <v>0</v>
      </c>
      <c r="K136" s="346">
        <f ca="1" t="shared" si="126"/>
        <v>0</v>
      </c>
      <c r="L136" s="346">
        <f ca="1" t="shared" si="126"/>
        <v>0</v>
      </c>
      <c r="M136" s="346">
        <f ca="1" t="shared" si="126"/>
        <v>0</v>
      </c>
      <c r="N136" s="346">
        <f ca="1" t="shared" si="126"/>
        <v>0.197999999999999</v>
      </c>
      <c r="O136" s="359">
        <f ca="1" t="shared" si="111"/>
        <v>1.38777878078145e-15</v>
      </c>
    </row>
    <row r="137" spans="1:15">
      <c r="A137" s="344" t="s">
        <v>29</v>
      </c>
      <c r="B137" s="346">
        <f ca="1" t="shared" si="112"/>
        <v>0.00366</v>
      </c>
      <c r="C137" s="346">
        <f ca="1" t="shared" ref="C137:N137" si="127">IFERROR(INDIRECT("'C-"&amp;$A137&amp;"'"&amp;"!"&amp;B$37&amp;"13")/10000,"")</f>
        <v>0.00416</v>
      </c>
      <c r="D137" s="346">
        <f ca="1" t="shared" si="127"/>
        <v>-0.30059</v>
      </c>
      <c r="E137" s="346">
        <f ca="1" t="shared" si="127"/>
        <v>0.00466</v>
      </c>
      <c r="F137" s="346">
        <f ca="1" t="shared" si="127"/>
        <v>0</v>
      </c>
      <c r="G137" s="346">
        <f ca="1" t="shared" si="127"/>
        <v>0</v>
      </c>
      <c r="H137" s="346">
        <f ca="1" t="shared" si="127"/>
        <v>0</v>
      </c>
      <c r="I137" s="346">
        <f ca="1" t="shared" si="127"/>
        <v>0</v>
      </c>
      <c r="J137" s="346">
        <f ca="1" t="shared" si="127"/>
        <v>0</v>
      </c>
      <c r="K137" s="346">
        <f ca="1" t="shared" si="127"/>
        <v>0</v>
      </c>
      <c r="L137" s="346">
        <f ca="1" t="shared" si="127"/>
        <v>0</v>
      </c>
      <c r="M137" s="346">
        <f ca="1" t="shared" si="127"/>
        <v>0</v>
      </c>
      <c r="N137" s="346">
        <f ca="1" t="shared" si="127"/>
        <v>-0.28811</v>
      </c>
      <c r="O137" s="359">
        <f ca="1" t="shared" si="111"/>
        <v>0</v>
      </c>
    </row>
    <row r="138" spans="1:15">
      <c r="A138" s="344" t="s">
        <v>30</v>
      </c>
      <c r="B138" s="346">
        <f ca="1" t="shared" si="112"/>
        <v>0.022</v>
      </c>
      <c r="C138" s="346">
        <f ca="1" t="shared" ref="C138:N138" si="128">IFERROR(INDIRECT("'C-"&amp;$A138&amp;"'"&amp;"!"&amp;B$37&amp;"13")/10000,"")</f>
        <v>0.132</v>
      </c>
      <c r="D138" s="346">
        <f ca="1" t="shared" si="128"/>
        <v>-0.028109</v>
      </c>
      <c r="E138" s="346">
        <f ca="1" t="shared" si="128"/>
        <v>0.0068</v>
      </c>
      <c r="F138" s="346">
        <f ca="1" t="shared" si="128"/>
        <v>0</v>
      </c>
      <c r="G138" s="346">
        <f ca="1" t="shared" si="128"/>
        <v>0</v>
      </c>
      <c r="H138" s="346">
        <f ca="1" t="shared" si="128"/>
        <v>0</v>
      </c>
      <c r="I138" s="346">
        <f ca="1" t="shared" si="128"/>
        <v>0</v>
      </c>
      <c r="J138" s="346">
        <f ca="1" t="shared" si="128"/>
        <v>0</v>
      </c>
      <c r="K138" s="346">
        <f ca="1" t="shared" si="128"/>
        <v>0</v>
      </c>
      <c r="L138" s="346">
        <f ca="1" t="shared" si="128"/>
        <v>0</v>
      </c>
      <c r="M138" s="346">
        <f ca="1" t="shared" si="128"/>
        <v>0</v>
      </c>
      <c r="N138" s="346">
        <f ca="1" t="shared" si="128"/>
        <v>0.132691</v>
      </c>
      <c r="O138" s="359">
        <f ca="1" t="shared" si="111"/>
        <v>0</v>
      </c>
    </row>
    <row r="139" spans="1:15">
      <c r="A139" s="344" t="s">
        <v>31</v>
      </c>
      <c r="B139" s="346">
        <f ca="1" t="shared" si="112"/>
        <v>0.0305</v>
      </c>
      <c r="C139" s="346">
        <f ca="1" t="shared" ref="C139:N139" si="129">IFERROR(INDIRECT("'C-"&amp;$A139&amp;"'"&amp;"!"&amp;B$37&amp;"13")/10000,"")</f>
        <v>0.03</v>
      </c>
      <c r="D139" s="346">
        <f ca="1" t="shared" si="129"/>
        <v>0.133439</v>
      </c>
      <c r="E139" s="346">
        <f ca="1" t="shared" si="129"/>
        <v>0</v>
      </c>
      <c r="F139" s="346">
        <f ca="1" t="shared" si="129"/>
        <v>0</v>
      </c>
      <c r="G139" s="346">
        <f ca="1" t="shared" si="129"/>
        <v>0</v>
      </c>
      <c r="H139" s="346">
        <f ca="1" t="shared" si="129"/>
        <v>0</v>
      </c>
      <c r="I139" s="346">
        <f ca="1" t="shared" si="129"/>
        <v>0</v>
      </c>
      <c r="J139" s="346">
        <f ca="1" t="shared" si="129"/>
        <v>0</v>
      </c>
      <c r="K139" s="346">
        <f ca="1" t="shared" si="129"/>
        <v>0</v>
      </c>
      <c r="L139" s="346">
        <f ca="1" t="shared" si="129"/>
        <v>0</v>
      </c>
      <c r="M139" s="346">
        <f ca="1" t="shared" si="129"/>
        <v>0</v>
      </c>
      <c r="N139" s="346">
        <f ca="1" t="shared" si="129"/>
        <v>0.193939</v>
      </c>
      <c r="O139" s="359">
        <f ca="1" t="shared" si="111"/>
        <v>0</v>
      </c>
    </row>
    <row r="140" spans="1:15">
      <c r="A140" s="344" t="s">
        <v>32</v>
      </c>
      <c r="B140" s="346">
        <f ca="1" t="shared" si="112"/>
        <v>-15.683052</v>
      </c>
      <c r="C140" s="346">
        <f ca="1" t="shared" ref="C140:N140" si="130">IFERROR(INDIRECT("'C-"&amp;$A140&amp;"'"&amp;"!"&amp;B$37&amp;"13")/10000,"")</f>
        <v>-16.545946</v>
      </c>
      <c r="D140" s="346">
        <f ca="1" t="shared" si="130"/>
        <v>-19.404097</v>
      </c>
      <c r="E140" s="346">
        <f ca="1" t="shared" si="130"/>
        <v>-14.512616</v>
      </c>
      <c r="F140" s="346">
        <f ca="1" t="shared" si="130"/>
        <v>0</v>
      </c>
      <c r="G140" s="346">
        <f ca="1" t="shared" si="130"/>
        <v>0</v>
      </c>
      <c r="H140" s="346">
        <f ca="1" t="shared" si="130"/>
        <v>0</v>
      </c>
      <c r="I140" s="346">
        <f ca="1" t="shared" si="130"/>
        <v>0</v>
      </c>
      <c r="J140" s="346">
        <f ca="1" t="shared" si="130"/>
        <v>0</v>
      </c>
      <c r="K140" s="346">
        <f ca="1" t="shared" si="130"/>
        <v>0</v>
      </c>
      <c r="L140" s="346">
        <f ca="1" t="shared" si="130"/>
        <v>0</v>
      </c>
      <c r="M140" s="346">
        <f ca="1" t="shared" si="130"/>
        <v>0</v>
      </c>
      <c r="N140" s="346">
        <f ca="1" t="shared" si="130"/>
        <v>-66.145711</v>
      </c>
      <c r="O140" s="359">
        <f ca="1" t="shared" si="111"/>
        <v>0</v>
      </c>
    </row>
    <row r="141" spans="1:15">
      <c r="A141" s="344" t="s">
        <v>33</v>
      </c>
      <c r="B141" s="346">
        <f ca="1" t="shared" si="112"/>
        <v>12.638399</v>
      </c>
      <c r="C141" s="346">
        <f ca="1" t="shared" ref="C141:N141" si="131">IFERROR(INDIRECT("'C-"&amp;$A141&amp;"'"&amp;"!"&amp;B$37&amp;"13")/10000,"")</f>
        <v>6.783102</v>
      </c>
      <c r="D141" s="346">
        <f ca="1" t="shared" si="131"/>
        <v>7.716777</v>
      </c>
      <c r="E141" s="346">
        <f ca="1" t="shared" si="131"/>
        <v>10.770195</v>
      </c>
      <c r="F141" s="346">
        <f ca="1" t="shared" si="131"/>
        <v>0</v>
      </c>
      <c r="G141" s="346">
        <f ca="1" t="shared" si="131"/>
        <v>0</v>
      </c>
      <c r="H141" s="346">
        <f ca="1" t="shared" si="131"/>
        <v>0</v>
      </c>
      <c r="I141" s="346">
        <f ca="1" t="shared" si="131"/>
        <v>0</v>
      </c>
      <c r="J141" s="346">
        <f ca="1" t="shared" si="131"/>
        <v>0</v>
      </c>
      <c r="K141" s="346">
        <f ca="1" t="shared" si="131"/>
        <v>0</v>
      </c>
      <c r="L141" s="346">
        <f ca="1" t="shared" si="131"/>
        <v>0</v>
      </c>
      <c r="M141" s="346">
        <f ca="1" t="shared" si="131"/>
        <v>0</v>
      </c>
      <c r="N141" s="346">
        <f ca="1" t="shared" si="131"/>
        <v>37.908473</v>
      </c>
      <c r="O141" s="359">
        <f ca="1" t="shared" si="111"/>
        <v>0</v>
      </c>
    </row>
    <row r="142" spans="1:15">
      <c r="A142" s="344" t="s">
        <v>34</v>
      </c>
      <c r="B142" s="346">
        <f ca="1" t="shared" si="112"/>
        <v>144.148242</v>
      </c>
      <c r="C142" s="346">
        <f ca="1" t="shared" ref="C142:N142" si="132">IFERROR(INDIRECT("'C-"&amp;$A142&amp;"'"&amp;"!"&amp;B$37&amp;"13")/10000,"")</f>
        <v>134.080281</v>
      </c>
      <c r="D142" s="346">
        <f ca="1" t="shared" si="132"/>
        <v>143.508483</v>
      </c>
      <c r="E142" s="346">
        <f ca="1" t="shared" si="132"/>
        <v>139.312128</v>
      </c>
      <c r="F142" s="346">
        <f ca="1" t="shared" si="132"/>
        <v>0</v>
      </c>
      <c r="G142" s="346">
        <f ca="1" t="shared" si="132"/>
        <v>0</v>
      </c>
      <c r="H142" s="346">
        <f ca="1" t="shared" si="132"/>
        <v>0</v>
      </c>
      <c r="I142" s="346">
        <f ca="1" t="shared" si="132"/>
        <v>0</v>
      </c>
      <c r="J142" s="346">
        <f ca="1" t="shared" si="132"/>
        <v>0</v>
      </c>
      <c r="K142" s="346">
        <f ca="1" t="shared" si="132"/>
        <v>0</v>
      </c>
      <c r="L142" s="346">
        <f ca="1" t="shared" si="132"/>
        <v>0</v>
      </c>
      <c r="M142" s="346">
        <f ca="1" t="shared" si="132"/>
        <v>0</v>
      </c>
      <c r="N142" s="346">
        <f ca="1" t="shared" si="132"/>
        <v>561.049134</v>
      </c>
      <c r="O142" s="359">
        <f ca="1" t="shared" si="111"/>
        <v>0</v>
      </c>
    </row>
    <row r="143" spans="1:15">
      <c r="A143" s="344" t="s">
        <v>35</v>
      </c>
      <c r="B143" s="346">
        <f ca="1" t="shared" si="112"/>
        <v>0</v>
      </c>
      <c r="C143" s="346">
        <f ca="1" t="shared" ref="C143:N143" si="133">IFERROR(INDIRECT("'C-"&amp;$A143&amp;"'"&amp;"!"&amp;B$37&amp;"13")/10000,"")</f>
        <v>0</v>
      </c>
      <c r="D143" s="346">
        <f ca="1" t="shared" si="133"/>
        <v>0</v>
      </c>
      <c r="E143" s="346">
        <f ca="1" t="shared" si="133"/>
        <v>0.097754</v>
      </c>
      <c r="F143" s="346">
        <f ca="1" t="shared" si="133"/>
        <v>0</v>
      </c>
      <c r="G143" s="346">
        <f ca="1" t="shared" si="133"/>
        <v>0</v>
      </c>
      <c r="H143" s="346">
        <f ca="1" t="shared" si="133"/>
        <v>0</v>
      </c>
      <c r="I143" s="346">
        <f ca="1" t="shared" si="133"/>
        <v>0</v>
      </c>
      <c r="J143" s="346">
        <f ca="1" t="shared" si="133"/>
        <v>0</v>
      </c>
      <c r="K143" s="346">
        <f ca="1" t="shared" si="133"/>
        <v>0</v>
      </c>
      <c r="L143" s="346">
        <f ca="1" t="shared" si="133"/>
        <v>0</v>
      </c>
      <c r="M143" s="346">
        <f ca="1" t="shared" si="133"/>
        <v>0</v>
      </c>
      <c r="N143" s="346">
        <f ca="1" t="shared" si="133"/>
        <v>0.097754</v>
      </c>
      <c r="O143" s="359">
        <f ca="1" t="shared" si="111"/>
        <v>0</v>
      </c>
    </row>
    <row r="144" spans="1:15">
      <c r="A144" s="344" t="s">
        <v>36</v>
      </c>
      <c r="B144" s="346">
        <f ca="1" t="shared" si="112"/>
        <v>0</v>
      </c>
      <c r="C144" s="346">
        <f ca="1" t="shared" ref="C144:N144" si="134">IFERROR(INDIRECT("'C-"&amp;$A144&amp;"'"&amp;"!"&amp;B$37&amp;"13")/10000,"")</f>
        <v>0</v>
      </c>
      <c r="D144" s="346">
        <f ca="1" t="shared" si="134"/>
        <v>0.13621</v>
      </c>
      <c r="E144" s="346">
        <f ca="1" t="shared" si="134"/>
        <v>0.0331</v>
      </c>
      <c r="F144" s="346">
        <f ca="1" t="shared" si="134"/>
        <v>0</v>
      </c>
      <c r="G144" s="346">
        <f ca="1" t="shared" si="134"/>
        <v>0</v>
      </c>
      <c r="H144" s="346">
        <f ca="1" t="shared" si="134"/>
        <v>0</v>
      </c>
      <c r="I144" s="346">
        <f ca="1" t="shared" si="134"/>
        <v>0</v>
      </c>
      <c r="J144" s="346">
        <f ca="1" t="shared" si="134"/>
        <v>0</v>
      </c>
      <c r="K144" s="346">
        <f ca="1" t="shared" si="134"/>
        <v>0</v>
      </c>
      <c r="L144" s="346">
        <f ca="1" t="shared" si="134"/>
        <v>0</v>
      </c>
      <c r="M144" s="346">
        <f ca="1" t="shared" si="134"/>
        <v>0</v>
      </c>
      <c r="N144" s="346">
        <f ca="1" t="shared" si="134"/>
        <v>0.16931</v>
      </c>
      <c r="O144" s="359">
        <f ca="1" t="shared" si="111"/>
        <v>0</v>
      </c>
    </row>
    <row r="145" spans="1:15">
      <c r="A145" s="347" t="s">
        <v>12</v>
      </c>
      <c r="B145" s="346">
        <f ca="1" t="shared" ref="B145:N145" si="135">SUM(B122:B144)</f>
        <v>641.246545</v>
      </c>
      <c r="C145" s="346">
        <f ca="1" t="shared" si="135"/>
        <v>327.896028</v>
      </c>
      <c r="D145" s="346">
        <f ca="1" t="shared" si="135"/>
        <v>566.54499</v>
      </c>
      <c r="E145" s="346">
        <f ca="1" t="shared" si="135"/>
        <v>583.709172</v>
      </c>
      <c r="F145" s="346">
        <f ca="1" t="shared" si="135"/>
        <v>0</v>
      </c>
      <c r="G145" s="346">
        <f ca="1" t="shared" si="135"/>
        <v>0</v>
      </c>
      <c r="H145" s="346">
        <f ca="1" t="shared" si="135"/>
        <v>0</v>
      </c>
      <c r="I145" s="346">
        <f ca="1" t="shared" si="135"/>
        <v>0</v>
      </c>
      <c r="J145" s="346">
        <f ca="1" t="shared" si="135"/>
        <v>0</v>
      </c>
      <c r="K145" s="346">
        <f ca="1" t="shared" si="135"/>
        <v>0</v>
      </c>
      <c r="L145" s="346">
        <f ca="1" t="shared" si="135"/>
        <v>0</v>
      </c>
      <c r="M145" s="346">
        <f ca="1" t="shared" si="135"/>
        <v>0</v>
      </c>
      <c r="N145" s="346">
        <f ca="1" t="shared" si="135"/>
        <v>2119.396735</v>
      </c>
      <c r="O145" s="359">
        <f ca="1" t="shared" si="111"/>
        <v>0</v>
      </c>
    </row>
    <row r="148" s="332" customFormat="1" spans="1:15">
      <c r="A148" s="343" t="s">
        <v>62</v>
      </c>
      <c r="B148" s="343"/>
      <c r="C148" s="343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56" t="s">
        <v>10</v>
      </c>
    </row>
    <row r="149" s="332" customFormat="1" spans="1:15">
      <c r="A149" s="344" t="s">
        <v>11</v>
      </c>
      <c r="B149" s="345">
        <v>43831</v>
      </c>
      <c r="C149" s="345">
        <v>43862</v>
      </c>
      <c r="D149" s="345">
        <v>43891</v>
      </c>
      <c r="E149" s="345">
        <v>43922</v>
      </c>
      <c r="F149" s="345">
        <v>43952</v>
      </c>
      <c r="G149" s="345">
        <v>43983</v>
      </c>
      <c r="H149" s="345">
        <v>44013</v>
      </c>
      <c r="I149" s="345">
        <v>44044</v>
      </c>
      <c r="J149" s="345">
        <v>44075</v>
      </c>
      <c r="K149" s="345">
        <v>44105</v>
      </c>
      <c r="L149" s="345">
        <v>44136</v>
      </c>
      <c r="M149" s="345">
        <v>44166</v>
      </c>
      <c r="N149" s="357" t="s">
        <v>12</v>
      </c>
      <c r="O149" s="358" t="s">
        <v>13</v>
      </c>
    </row>
    <row r="150" s="332" customFormat="1" spans="1:15">
      <c r="A150" s="344" t="s">
        <v>14</v>
      </c>
      <c r="B150" s="346">
        <f ca="1" t="shared" ref="B150:B153" si="136">IFERROR(INDIRECT("'Z-"&amp;$A150&amp;"'"&amp;"!"&amp;B$37&amp;"93")/10000,"")</f>
        <v>270.134669</v>
      </c>
      <c r="C150" s="346">
        <f ca="1" t="shared" ref="C150:C153" si="137">IFERROR(INDIRECT("'Z-"&amp;$A150&amp;"'"&amp;"!"&amp;C$37&amp;"93")/10000,"")</f>
        <v>237.611472</v>
      </c>
      <c r="D150" s="346">
        <f ca="1" t="shared" ref="D150:D153" si="138">IFERROR(INDIRECT("'Z-"&amp;$A150&amp;"'"&amp;"!"&amp;D$37&amp;"93")/10000,"")</f>
        <v>268.035606</v>
      </c>
      <c r="E150" s="346">
        <f ca="1" t="shared" ref="E150:E153" si="139">IFERROR(INDIRECT("'Z-"&amp;$A150&amp;"'"&amp;"!"&amp;E$37&amp;"93")/10000,"")</f>
        <v>349.577719</v>
      </c>
      <c r="F150" s="346">
        <f ca="1" t="shared" ref="F150:F153" si="140">IFERROR(INDIRECT("'Z-"&amp;$A150&amp;"'"&amp;"!"&amp;F$37&amp;"93")/10000,"")</f>
        <v>0</v>
      </c>
      <c r="G150" s="346">
        <f ca="1" t="shared" ref="G150:G153" si="141">IFERROR(INDIRECT("'Z-"&amp;$A150&amp;"'"&amp;"!"&amp;G$37&amp;"93")/10000,"")</f>
        <v>0</v>
      </c>
      <c r="H150" s="346">
        <f ca="1" t="shared" ref="H150:H153" si="142">IFERROR(INDIRECT("'Z-"&amp;$A150&amp;"'"&amp;"!"&amp;H$37&amp;"93")/10000,"")</f>
        <v>0</v>
      </c>
      <c r="I150" s="346">
        <f ca="1" t="shared" ref="I150:I153" si="143">IFERROR(INDIRECT("'Z-"&amp;$A150&amp;"'"&amp;"!"&amp;I$37&amp;"93")/10000,"")</f>
        <v>0</v>
      </c>
      <c r="J150" s="346">
        <f ca="1" t="shared" ref="J150:J153" si="144">IFERROR(INDIRECT("'Z-"&amp;$A150&amp;"'"&amp;"!"&amp;J$37&amp;"93")/10000,"")</f>
        <v>0</v>
      </c>
      <c r="K150" s="346">
        <f ca="1" t="shared" ref="K150:K153" si="145">IFERROR(INDIRECT("'Z-"&amp;$A150&amp;"'"&amp;"!"&amp;K$37&amp;"93")/10000,"")</f>
        <v>0</v>
      </c>
      <c r="L150" s="346">
        <f ca="1" t="shared" ref="L150:L153" si="146">IFERROR(INDIRECT("'Z-"&amp;$A150&amp;"'"&amp;"!"&amp;L$37&amp;"93")/10000,"")</f>
        <v>0</v>
      </c>
      <c r="M150" s="346">
        <f ca="1" t="shared" ref="M150:M153" si="147">IFERROR(INDIRECT("'Z-"&amp;$A150&amp;"'"&amp;"!"&amp;M$37&amp;"93")/10000,"")</f>
        <v>0</v>
      </c>
      <c r="N150" s="346">
        <f ca="1" t="shared" ref="N150:N153" si="148">IFERROR(INDIRECT("'Z-"&amp;$A150&amp;"'"&amp;"!"&amp;N$37&amp;"93")/10000,"")</f>
        <v>1125.359466</v>
      </c>
      <c r="O150" s="359">
        <f ca="1" t="shared" ref="O150:O173" si="149">IFERROR(SUM(B150:M150)-N150,"")</f>
        <v>0</v>
      </c>
    </row>
    <row r="151" s="332" customFormat="1" spans="1:15">
      <c r="A151" s="344" t="s">
        <v>15</v>
      </c>
      <c r="B151" s="346">
        <f ca="1" t="shared" si="136"/>
        <v>0</v>
      </c>
      <c r="C151" s="346">
        <f ca="1" t="shared" si="137"/>
        <v>0</v>
      </c>
      <c r="D151" s="346">
        <f ca="1" t="shared" si="138"/>
        <v>0</v>
      </c>
      <c r="E151" s="346">
        <f ca="1" t="shared" si="139"/>
        <v>0</v>
      </c>
      <c r="F151" s="346">
        <f ca="1" t="shared" si="140"/>
        <v>0</v>
      </c>
      <c r="G151" s="346">
        <f ca="1" t="shared" si="141"/>
        <v>0</v>
      </c>
      <c r="H151" s="346">
        <f ca="1" t="shared" si="142"/>
        <v>0</v>
      </c>
      <c r="I151" s="346">
        <f ca="1" t="shared" si="143"/>
        <v>0</v>
      </c>
      <c r="J151" s="346">
        <f ca="1" t="shared" si="144"/>
        <v>0</v>
      </c>
      <c r="K151" s="346">
        <f ca="1" t="shared" si="145"/>
        <v>0</v>
      </c>
      <c r="L151" s="346">
        <f ca="1" t="shared" si="146"/>
        <v>0</v>
      </c>
      <c r="M151" s="346">
        <f ca="1" t="shared" si="147"/>
        <v>0</v>
      </c>
      <c r="N151" s="346">
        <f ca="1" t="shared" si="148"/>
        <v>0</v>
      </c>
      <c r="O151" s="359">
        <f ca="1" t="shared" si="149"/>
        <v>0</v>
      </c>
    </row>
    <row r="152" s="332" customFormat="1" spans="1:15">
      <c r="A152" s="344" t="s">
        <v>16</v>
      </c>
      <c r="B152" s="346">
        <f ca="1" t="shared" si="136"/>
        <v>90.324096</v>
      </c>
      <c r="C152" s="346">
        <f ca="1" t="shared" si="137"/>
        <v>80.202853</v>
      </c>
      <c r="D152" s="346">
        <f ca="1" t="shared" si="138"/>
        <v>72.301983</v>
      </c>
      <c r="E152" s="346">
        <f ca="1" t="shared" si="139"/>
        <v>95.24241</v>
      </c>
      <c r="F152" s="346">
        <f ca="1" t="shared" si="140"/>
        <v>0</v>
      </c>
      <c r="G152" s="346">
        <f ca="1" t="shared" si="141"/>
        <v>0</v>
      </c>
      <c r="H152" s="346">
        <f ca="1" t="shared" si="142"/>
        <v>0</v>
      </c>
      <c r="I152" s="346">
        <f ca="1" t="shared" si="143"/>
        <v>0</v>
      </c>
      <c r="J152" s="346">
        <f ca="1" t="shared" si="144"/>
        <v>0</v>
      </c>
      <c r="K152" s="346">
        <f ca="1" t="shared" si="145"/>
        <v>0</v>
      </c>
      <c r="L152" s="346">
        <f ca="1" t="shared" si="146"/>
        <v>0</v>
      </c>
      <c r="M152" s="346">
        <f ca="1" t="shared" si="147"/>
        <v>0</v>
      </c>
      <c r="N152" s="346">
        <f ca="1" t="shared" si="148"/>
        <v>338.071342</v>
      </c>
      <c r="O152" s="359">
        <f ca="1" t="shared" si="149"/>
        <v>0</v>
      </c>
    </row>
    <row r="153" s="332" customFormat="1" spans="1:15">
      <c r="A153" s="344" t="s">
        <v>17</v>
      </c>
      <c r="B153" s="346">
        <f ca="1" t="shared" si="136"/>
        <v>99.078652</v>
      </c>
      <c r="C153" s="346">
        <f ca="1" t="shared" si="137"/>
        <v>88.976768</v>
      </c>
      <c r="D153" s="346">
        <f ca="1" t="shared" si="138"/>
        <v>99.374283</v>
      </c>
      <c r="E153" s="346">
        <f ca="1" t="shared" si="139"/>
        <v>122.798386</v>
      </c>
      <c r="F153" s="346">
        <f ca="1" t="shared" si="140"/>
        <v>0</v>
      </c>
      <c r="G153" s="346">
        <f ca="1" t="shared" si="141"/>
        <v>0</v>
      </c>
      <c r="H153" s="346">
        <f ca="1" t="shared" si="142"/>
        <v>0</v>
      </c>
      <c r="I153" s="346">
        <f ca="1" t="shared" si="143"/>
        <v>0</v>
      </c>
      <c r="J153" s="346">
        <f ca="1" t="shared" si="144"/>
        <v>0</v>
      </c>
      <c r="K153" s="346">
        <f ca="1" t="shared" si="145"/>
        <v>0</v>
      </c>
      <c r="L153" s="346">
        <f ca="1" t="shared" si="146"/>
        <v>0</v>
      </c>
      <c r="M153" s="346">
        <f ca="1" t="shared" si="147"/>
        <v>0</v>
      </c>
      <c r="N153" s="346">
        <f ca="1" t="shared" si="148"/>
        <v>410.228089</v>
      </c>
      <c r="O153" s="359">
        <f ca="1" t="shared" si="149"/>
        <v>0</v>
      </c>
    </row>
    <row r="154" s="332" customFormat="1" spans="1:15">
      <c r="A154" s="360" t="s">
        <v>18</v>
      </c>
      <c r="B154" s="346">
        <v>0</v>
      </c>
      <c r="C154" s="346">
        <v>0</v>
      </c>
      <c r="D154" s="346">
        <v>0</v>
      </c>
      <c r="E154" s="346">
        <v>0</v>
      </c>
      <c r="F154" s="346">
        <v>0</v>
      </c>
      <c r="G154" s="346">
        <v>0</v>
      </c>
      <c r="H154" s="346">
        <v>0</v>
      </c>
      <c r="I154" s="346">
        <v>0</v>
      </c>
      <c r="J154" s="346">
        <v>0</v>
      </c>
      <c r="K154" s="346">
        <v>0</v>
      </c>
      <c r="L154" s="346">
        <v>0</v>
      </c>
      <c r="M154" s="346">
        <v>0</v>
      </c>
      <c r="N154" s="346">
        <v>0</v>
      </c>
      <c r="O154" s="359">
        <v>0</v>
      </c>
    </row>
    <row r="155" s="332" customFormat="1" spans="1:15">
      <c r="A155" s="360" t="s">
        <v>19</v>
      </c>
      <c r="B155" s="346">
        <v>0</v>
      </c>
      <c r="C155" s="346">
        <v>0</v>
      </c>
      <c r="D155" s="346">
        <v>0</v>
      </c>
      <c r="E155" s="346">
        <v>0</v>
      </c>
      <c r="F155" s="346">
        <v>0</v>
      </c>
      <c r="G155" s="346">
        <v>0</v>
      </c>
      <c r="H155" s="346">
        <v>0</v>
      </c>
      <c r="I155" s="346">
        <v>0</v>
      </c>
      <c r="J155" s="346">
        <v>0</v>
      </c>
      <c r="K155" s="346">
        <v>0</v>
      </c>
      <c r="L155" s="346">
        <v>0</v>
      </c>
      <c r="M155" s="346">
        <v>0</v>
      </c>
      <c r="N155" s="346">
        <v>0</v>
      </c>
      <c r="O155" s="359">
        <v>0</v>
      </c>
    </row>
    <row r="156" s="332" customFormat="1" spans="1:15">
      <c r="A156" s="360" t="s">
        <v>20</v>
      </c>
      <c r="B156" s="346">
        <v>0</v>
      </c>
      <c r="C156" s="346">
        <v>0</v>
      </c>
      <c r="D156" s="346">
        <v>0</v>
      </c>
      <c r="E156" s="346">
        <v>0</v>
      </c>
      <c r="F156" s="346">
        <v>0</v>
      </c>
      <c r="G156" s="346">
        <v>0</v>
      </c>
      <c r="H156" s="346">
        <v>0</v>
      </c>
      <c r="I156" s="346">
        <v>0</v>
      </c>
      <c r="J156" s="346">
        <v>0</v>
      </c>
      <c r="K156" s="346">
        <v>0</v>
      </c>
      <c r="L156" s="346">
        <v>0</v>
      </c>
      <c r="M156" s="346">
        <v>0</v>
      </c>
      <c r="N156" s="346">
        <v>0</v>
      </c>
      <c r="O156" s="359">
        <v>0</v>
      </c>
    </row>
    <row r="157" s="332" customFormat="1" spans="1:15">
      <c r="A157" s="360" t="s">
        <v>21</v>
      </c>
      <c r="B157" s="346">
        <v>0</v>
      </c>
      <c r="C157" s="346">
        <v>0</v>
      </c>
      <c r="D157" s="346">
        <v>0</v>
      </c>
      <c r="E157" s="346">
        <v>0</v>
      </c>
      <c r="F157" s="346">
        <v>0</v>
      </c>
      <c r="G157" s="346">
        <v>0</v>
      </c>
      <c r="H157" s="346">
        <v>0</v>
      </c>
      <c r="I157" s="346">
        <v>0</v>
      </c>
      <c r="J157" s="346">
        <v>0</v>
      </c>
      <c r="K157" s="346">
        <v>0</v>
      </c>
      <c r="L157" s="346">
        <v>0</v>
      </c>
      <c r="M157" s="346">
        <v>0</v>
      </c>
      <c r="N157" s="346">
        <v>0</v>
      </c>
      <c r="O157" s="359">
        <v>0</v>
      </c>
    </row>
    <row r="158" s="332" customFormat="1" spans="1:15">
      <c r="A158" s="344" t="s">
        <v>22</v>
      </c>
      <c r="B158" s="346">
        <f ca="1" t="shared" ref="B158:B165" si="150">IFERROR(INDIRECT("'Z-"&amp;$A158&amp;"'"&amp;"!"&amp;B$37&amp;"93")/10000,"")</f>
        <v>31.869791</v>
      </c>
      <c r="C158" s="346">
        <f ca="1" t="shared" ref="C158:C165" si="151">IFERROR(INDIRECT("'Z-"&amp;$A158&amp;"'"&amp;"!"&amp;C$37&amp;"93")/10000,"")</f>
        <v>24.824143</v>
      </c>
      <c r="D158" s="346">
        <f ca="1" t="shared" ref="D158:D165" si="152">IFERROR(INDIRECT("'Z-"&amp;$A158&amp;"'"&amp;"!"&amp;D$37&amp;"93")/10000,"")</f>
        <v>31.932668</v>
      </c>
      <c r="E158" s="346">
        <f ca="1" t="shared" ref="E158:E165" si="153">IFERROR(INDIRECT("'Z-"&amp;$A158&amp;"'"&amp;"!"&amp;E$37&amp;"93")/10000,"")</f>
        <v>29.778171</v>
      </c>
      <c r="F158" s="346">
        <f ca="1" t="shared" ref="F158:F165" si="154">IFERROR(INDIRECT("'Z-"&amp;$A158&amp;"'"&amp;"!"&amp;F$37&amp;"93")/10000,"")</f>
        <v>0</v>
      </c>
      <c r="G158" s="346">
        <f ca="1" t="shared" ref="G158:G165" si="155">IFERROR(INDIRECT("'Z-"&amp;$A158&amp;"'"&amp;"!"&amp;G$37&amp;"93")/10000,"")</f>
        <v>0</v>
      </c>
      <c r="H158" s="346">
        <f ca="1" t="shared" ref="H158:H165" si="156">IFERROR(INDIRECT("'Z-"&amp;$A158&amp;"'"&amp;"!"&amp;H$37&amp;"93")/10000,"")</f>
        <v>0</v>
      </c>
      <c r="I158" s="346">
        <f ca="1" t="shared" ref="I158:I165" si="157">IFERROR(INDIRECT("'Z-"&amp;$A158&amp;"'"&amp;"!"&amp;I$37&amp;"93")/10000,"")</f>
        <v>0</v>
      </c>
      <c r="J158" s="346">
        <f ca="1" t="shared" ref="J158:J165" si="158">IFERROR(INDIRECT("'Z-"&amp;$A158&amp;"'"&amp;"!"&amp;J$37&amp;"93")/10000,"")</f>
        <v>0</v>
      </c>
      <c r="K158" s="346">
        <f ca="1" t="shared" ref="K158:K165" si="159">IFERROR(INDIRECT("'Z-"&amp;$A158&amp;"'"&amp;"!"&amp;K$37&amp;"93")/10000,"")</f>
        <v>0</v>
      </c>
      <c r="L158" s="346">
        <f ca="1" t="shared" ref="L158:L165" si="160">IFERROR(INDIRECT("'Z-"&amp;$A158&amp;"'"&amp;"!"&amp;L$37&amp;"93")/10000,"")</f>
        <v>0</v>
      </c>
      <c r="M158" s="346">
        <f ca="1" t="shared" ref="M158:M165" si="161">IFERROR(INDIRECT("'Z-"&amp;$A158&amp;"'"&amp;"!"&amp;M$37&amp;"93")/10000,"")</f>
        <v>0</v>
      </c>
      <c r="N158" s="346">
        <f ca="1" t="shared" ref="N158:N165" si="162">IFERROR(INDIRECT("'Z-"&amp;$A158&amp;"'"&amp;"!"&amp;N$37&amp;"93")/10000,"")</f>
        <v>118.404773</v>
      </c>
      <c r="O158" s="359">
        <f ca="1" t="shared" si="149"/>
        <v>0</v>
      </c>
    </row>
    <row r="159" s="332" customFormat="1" spans="1:15">
      <c r="A159" s="344" t="s">
        <v>23</v>
      </c>
      <c r="B159" s="346">
        <f ca="1" t="shared" si="150"/>
        <v>104.653753</v>
      </c>
      <c r="C159" s="346">
        <f ca="1" t="shared" si="151"/>
        <v>46.130893</v>
      </c>
      <c r="D159" s="346">
        <f ca="1" t="shared" si="152"/>
        <v>67.539837</v>
      </c>
      <c r="E159" s="346">
        <f ca="1" t="shared" si="153"/>
        <v>86.259965</v>
      </c>
      <c r="F159" s="346">
        <f ca="1" t="shared" si="154"/>
        <v>0</v>
      </c>
      <c r="G159" s="346">
        <f ca="1" t="shared" si="155"/>
        <v>0</v>
      </c>
      <c r="H159" s="346">
        <f ca="1" t="shared" si="156"/>
        <v>0</v>
      </c>
      <c r="I159" s="346">
        <f ca="1" t="shared" si="157"/>
        <v>0</v>
      </c>
      <c r="J159" s="346">
        <f ca="1" t="shared" si="158"/>
        <v>0</v>
      </c>
      <c r="K159" s="346">
        <f ca="1" t="shared" si="159"/>
        <v>0</v>
      </c>
      <c r="L159" s="346">
        <f ca="1" t="shared" si="160"/>
        <v>0</v>
      </c>
      <c r="M159" s="346">
        <f ca="1" t="shared" si="161"/>
        <v>0</v>
      </c>
      <c r="N159" s="346">
        <f ca="1" t="shared" si="162"/>
        <v>304.584448</v>
      </c>
      <c r="O159" s="359">
        <f ca="1" t="shared" si="149"/>
        <v>0</v>
      </c>
    </row>
    <row r="160" s="332" customFormat="1" spans="1:15">
      <c r="A160" s="360" t="s">
        <v>24</v>
      </c>
      <c r="B160" s="346">
        <v>0</v>
      </c>
      <c r="C160" s="346">
        <v>0</v>
      </c>
      <c r="D160" s="346">
        <v>0</v>
      </c>
      <c r="E160" s="346">
        <v>0</v>
      </c>
      <c r="F160" s="346">
        <v>0</v>
      </c>
      <c r="G160" s="346">
        <v>0</v>
      </c>
      <c r="H160" s="346">
        <v>0</v>
      </c>
      <c r="I160" s="346">
        <v>0</v>
      </c>
      <c r="J160" s="346">
        <v>0</v>
      </c>
      <c r="K160" s="346">
        <v>0</v>
      </c>
      <c r="L160" s="346">
        <v>0</v>
      </c>
      <c r="M160" s="346">
        <v>0</v>
      </c>
      <c r="N160" s="346">
        <v>0</v>
      </c>
      <c r="O160" s="359">
        <v>0</v>
      </c>
    </row>
    <row r="161" s="332" customFormat="1" spans="1:15">
      <c r="A161" s="344" t="s">
        <v>25</v>
      </c>
      <c r="B161" s="346">
        <f ca="1" t="shared" si="150"/>
        <v>0</v>
      </c>
      <c r="C161" s="346">
        <f ca="1" t="shared" si="151"/>
        <v>0</v>
      </c>
      <c r="D161" s="346">
        <f ca="1" t="shared" si="152"/>
        <v>0</v>
      </c>
      <c r="E161" s="346">
        <f ca="1" t="shared" si="153"/>
        <v>0</v>
      </c>
      <c r="F161" s="346">
        <f ca="1" t="shared" si="154"/>
        <v>0</v>
      </c>
      <c r="G161" s="346">
        <f ca="1" t="shared" si="155"/>
        <v>0</v>
      </c>
      <c r="H161" s="346">
        <f ca="1" t="shared" si="156"/>
        <v>0</v>
      </c>
      <c r="I161" s="346">
        <f ca="1" t="shared" si="157"/>
        <v>0</v>
      </c>
      <c r="J161" s="346">
        <f ca="1" t="shared" si="158"/>
        <v>0</v>
      </c>
      <c r="K161" s="346">
        <f ca="1" t="shared" si="159"/>
        <v>0</v>
      </c>
      <c r="L161" s="346">
        <f ca="1" t="shared" si="160"/>
        <v>0</v>
      </c>
      <c r="M161" s="346">
        <f ca="1" t="shared" si="161"/>
        <v>0</v>
      </c>
      <c r="N161" s="346">
        <f ca="1" t="shared" si="162"/>
        <v>0</v>
      </c>
      <c r="O161" s="359">
        <f ca="1" t="shared" si="149"/>
        <v>0</v>
      </c>
    </row>
    <row r="162" s="332" customFormat="1" spans="1:15">
      <c r="A162" s="344" t="s">
        <v>26</v>
      </c>
      <c r="B162" s="346">
        <f ca="1" t="shared" si="150"/>
        <v>2534.621073</v>
      </c>
      <c r="C162" s="346">
        <f ca="1" t="shared" si="151"/>
        <v>2401.79266400001</v>
      </c>
      <c r="D162" s="346">
        <f ca="1" t="shared" si="152"/>
        <v>2857.755309</v>
      </c>
      <c r="E162" s="346">
        <f ca="1" t="shared" si="153"/>
        <v>3101.06859900001</v>
      </c>
      <c r="F162" s="346">
        <f ca="1" t="shared" si="154"/>
        <v>0</v>
      </c>
      <c r="G162" s="346">
        <f ca="1" t="shared" si="155"/>
        <v>0</v>
      </c>
      <c r="H162" s="346">
        <f ca="1" t="shared" si="156"/>
        <v>0</v>
      </c>
      <c r="I162" s="346">
        <f ca="1" t="shared" si="157"/>
        <v>0</v>
      </c>
      <c r="J162" s="346">
        <f ca="1" t="shared" si="158"/>
        <v>0</v>
      </c>
      <c r="K162" s="346">
        <f ca="1" t="shared" si="159"/>
        <v>0</v>
      </c>
      <c r="L162" s="346">
        <f ca="1" t="shared" si="160"/>
        <v>0</v>
      </c>
      <c r="M162" s="346">
        <f ca="1" t="shared" si="161"/>
        <v>0</v>
      </c>
      <c r="N162" s="346">
        <f ca="1" t="shared" si="162"/>
        <v>10895.237645</v>
      </c>
      <c r="O162" s="359">
        <f ca="1" t="shared" si="149"/>
        <v>0</v>
      </c>
    </row>
    <row r="163" s="332" customFormat="1" spans="1:15">
      <c r="A163" s="344" t="s">
        <v>27</v>
      </c>
      <c r="B163" s="346">
        <f ca="1" t="shared" si="150"/>
        <v>298.5055</v>
      </c>
      <c r="C163" s="346">
        <f ca="1" t="shared" si="151"/>
        <v>0</v>
      </c>
      <c r="D163" s="346">
        <f ca="1" t="shared" si="152"/>
        <v>0</v>
      </c>
      <c r="E163" s="346">
        <f ca="1" t="shared" si="153"/>
        <v>0</v>
      </c>
      <c r="F163" s="346">
        <f ca="1" t="shared" si="154"/>
        <v>0</v>
      </c>
      <c r="G163" s="346">
        <f ca="1" t="shared" si="155"/>
        <v>0</v>
      </c>
      <c r="H163" s="346">
        <f ca="1" t="shared" si="156"/>
        <v>0</v>
      </c>
      <c r="I163" s="346">
        <f ca="1" t="shared" si="157"/>
        <v>0</v>
      </c>
      <c r="J163" s="346">
        <f ca="1" t="shared" si="158"/>
        <v>0</v>
      </c>
      <c r="K163" s="346">
        <f ca="1" t="shared" si="159"/>
        <v>0</v>
      </c>
      <c r="L163" s="346">
        <f ca="1" t="shared" si="160"/>
        <v>0</v>
      </c>
      <c r="M163" s="346">
        <f ca="1" t="shared" si="161"/>
        <v>0</v>
      </c>
      <c r="N163" s="346">
        <f ca="1" t="shared" si="162"/>
        <v>298.5055</v>
      </c>
      <c r="O163" s="359">
        <f ca="1" t="shared" si="149"/>
        <v>0</v>
      </c>
    </row>
    <row r="164" s="332" customFormat="1" spans="1:15">
      <c r="A164" s="344" t="s">
        <v>28</v>
      </c>
      <c r="B164" s="346">
        <f ca="1" t="shared" si="150"/>
        <v>387.874411</v>
      </c>
      <c r="C164" s="346">
        <f ca="1" t="shared" si="151"/>
        <v>352.139648</v>
      </c>
      <c r="D164" s="346">
        <f ca="1" t="shared" si="152"/>
        <v>449.722732</v>
      </c>
      <c r="E164" s="346">
        <f ca="1" t="shared" si="153"/>
        <v>419.736392</v>
      </c>
      <c r="F164" s="346">
        <f ca="1" t="shared" si="154"/>
        <v>0</v>
      </c>
      <c r="G164" s="346">
        <f ca="1" t="shared" si="155"/>
        <v>0</v>
      </c>
      <c r="H164" s="346">
        <f ca="1" t="shared" si="156"/>
        <v>0</v>
      </c>
      <c r="I164" s="346">
        <f ca="1" t="shared" si="157"/>
        <v>0</v>
      </c>
      <c r="J164" s="346">
        <f ca="1" t="shared" si="158"/>
        <v>0</v>
      </c>
      <c r="K164" s="346">
        <f ca="1" t="shared" si="159"/>
        <v>0</v>
      </c>
      <c r="L164" s="346">
        <f ca="1" t="shared" si="160"/>
        <v>0</v>
      </c>
      <c r="M164" s="346">
        <f ca="1" t="shared" si="161"/>
        <v>0</v>
      </c>
      <c r="N164" s="346">
        <f ca="1" t="shared" si="162"/>
        <v>1609.473183</v>
      </c>
      <c r="O164" s="359">
        <f ca="1" t="shared" si="149"/>
        <v>0</v>
      </c>
    </row>
    <row r="165" s="332" customFormat="1" spans="1:15">
      <c r="A165" s="344" t="s">
        <v>29</v>
      </c>
      <c r="B165" s="346">
        <f ca="1" t="shared" si="150"/>
        <v>0</v>
      </c>
      <c r="C165" s="346">
        <f ca="1" t="shared" si="151"/>
        <v>0</v>
      </c>
      <c r="D165" s="346">
        <f ca="1" t="shared" si="152"/>
        <v>0</v>
      </c>
      <c r="E165" s="346">
        <f ca="1" t="shared" si="153"/>
        <v>0</v>
      </c>
      <c r="F165" s="346">
        <f ca="1" t="shared" si="154"/>
        <v>0</v>
      </c>
      <c r="G165" s="346">
        <f ca="1" t="shared" si="155"/>
        <v>0</v>
      </c>
      <c r="H165" s="346">
        <f ca="1" t="shared" si="156"/>
        <v>0</v>
      </c>
      <c r="I165" s="346">
        <f ca="1" t="shared" si="157"/>
        <v>0</v>
      </c>
      <c r="J165" s="346">
        <f ca="1" t="shared" si="158"/>
        <v>0</v>
      </c>
      <c r="K165" s="346">
        <f ca="1" t="shared" si="159"/>
        <v>0</v>
      </c>
      <c r="L165" s="346">
        <f ca="1" t="shared" si="160"/>
        <v>0</v>
      </c>
      <c r="M165" s="346">
        <f ca="1" t="shared" si="161"/>
        <v>0</v>
      </c>
      <c r="N165" s="346">
        <f ca="1" t="shared" si="162"/>
        <v>0</v>
      </c>
      <c r="O165" s="359">
        <f ca="1" t="shared" si="149"/>
        <v>0</v>
      </c>
    </row>
    <row r="166" s="332" customFormat="1" spans="1:15">
      <c r="A166" s="360" t="s">
        <v>30</v>
      </c>
      <c r="B166" s="346">
        <v>0</v>
      </c>
      <c r="C166" s="346">
        <v>0</v>
      </c>
      <c r="D166" s="346">
        <v>0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>
        <v>0</v>
      </c>
      <c r="M166" s="346">
        <v>0</v>
      </c>
      <c r="N166" s="346">
        <v>0</v>
      </c>
      <c r="O166" s="359">
        <v>0</v>
      </c>
    </row>
    <row r="167" s="332" customFormat="1" spans="1:15">
      <c r="A167" s="344" t="s">
        <v>31</v>
      </c>
      <c r="B167" s="346">
        <f ca="1" t="shared" ref="B167:B169" si="163">IFERROR(INDIRECT("'Z-"&amp;$A167&amp;"'"&amp;"!"&amp;B$37&amp;"93")/10000,"")</f>
        <v>0</v>
      </c>
      <c r="C167" s="346">
        <f ca="1" t="shared" ref="C167:C169" si="164">IFERROR(INDIRECT("'Z-"&amp;$A167&amp;"'"&amp;"!"&amp;C$37&amp;"93")/10000,"")</f>
        <v>0</v>
      </c>
      <c r="D167" s="346">
        <f ca="1" t="shared" ref="D167:D169" si="165">IFERROR(INDIRECT("'Z-"&amp;$A167&amp;"'"&amp;"!"&amp;D$37&amp;"93")/10000,"")</f>
        <v>0</v>
      </c>
      <c r="E167" s="346">
        <f ca="1" t="shared" ref="E167:E169" si="166">IFERROR(INDIRECT("'Z-"&amp;$A167&amp;"'"&amp;"!"&amp;E$37&amp;"93")/10000,"")</f>
        <v>0</v>
      </c>
      <c r="F167" s="346">
        <f ca="1" t="shared" ref="F167:F169" si="167">IFERROR(INDIRECT("'Z-"&amp;$A167&amp;"'"&amp;"!"&amp;F$37&amp;"93")/10000,"")</f>
        <v>0</v>
      </c>
      <c r="G167" s="346">
        <f ca="1" t="shared" ref="G167:G169" si="168">IFERROR(INDIRECT("'Z-"&amp;$A167&amp;"'"&amp;"!"&amp;G$37&amp;"93")/10000,"")</f>
        <v>0</v>
      </c>
      <c r="H167" s="346">
        <f ca="1" t="shared" ref="H167:H169" si="169">IFERROR(INDIRECT("'Z-"&amp;$A167&amp;"'"&amp;"!"&amp;H$37&amp;"93")/10000,"")</f>
        <v>0</v>
      </c>
      <c r="I167" s="346">
        <f ca="1" t="shared" ref="I167:I169" si="170">IFERROR(INDIRECT("'Z-"&amp;$A167&amp;"'"&amp;"!"&amp;I$37&amp;"93")/10000,"")</f>
        <v>0</v>
      </c>
      <c r="J167" s="346">
        <f ca="1" t="shared" ref="J167:J169" si="171">IFERROR(INDIRECT("'Z-"&amp;$A167&amp;"'"&amp;"!"&amp;J$37&amp;"93")/10000,"")</f>
        <v>0</v>
      </c>
      <c r="K167" s="346">
        <f ca="1" t="shared" ref="K167:K169" si="172">IFERROR(INDIRECT("'Z-"&amp;$A167&amp;"'"&amp;"!"&amp;K$37&amp;"93")/10000,"")</f>
        <v>0</v>
      </c>
      <c r="L167" s="346">
        <f ca="1" t="shared" ref="L167:L169" si="173">IFERROR(INDIRECT("'Z-"&amp;$A167&amp;"'"&amp;"!"&amp;L$37&amp;"93")/10000,"")</f>
        <v>0</v>
      </c>
      <c r="M167" s="346">
        <f ca="1" t="shared" ref="M167:M169" si="174">IFERROR(INDIRECT("'Z-"&amp;$A167&amp;"'"&amp;"!"&amp;M$37&amp;"93")/10000,"")</f>
        <v>0</v>
      </c>
      <c r="N167" s="346">
        <f ca="1" t="shared" ref="N167:N169" si="175">IFERROR(INDIRECT("'Z-"&amp;$A167&amp;"'"&amp;"!"&amp;N$37&amp;"93")/10000,"")</f>
        <v>0</v>
      </c>
      <c r="O167" s="359">
        <f ca="1" t="shared" si="149"/>
        <v>0</v>
      </c>
    </row>
    <row r="168" s="332" customFormat="1" spans="1:15">
      <c r="A168" s="344" t="s">
        <v>32</v>
      </c>
      <c r="B168" s="346">
        <f ca="1" t="shared" si="163"/>
        <v>130.082756</v>
      </c>
      <c r="C168" s="346">
        <f ca="1" t="shared" si="164"/>
        <v>34.463873</v>
      </c>
      <c r="D168" s="346">
        <f ca="1" t="shared" si="165"/>
        <v>139.315059</v>
      </c>
      <c r="E168" s="346">
        <f ca="1" t="shared" si="166"/>
        <v>107.414964</v>
      </c>
      <c r="F168" s="346">
        <f ca="1" t="shared" si="167"/>
        <v>0</v>
      </c>
      <c r="G168" s="346">
        <f ca="1" t="shared" si="168"/>
        <v>0</v>
      </c>
      <c r="H168" s="346">
        <f ca="1" t="shared" si="169"/>
        <v>0</v>
      </c>
      <c r="I168" s="346">
        <f ca="1" t="shared" si="170"/>
        <v>0</v>
      </c>
      <c r="J168" s="346">
        <f ca="1" t="shared" si="171"/>
        <v>0</v>
      </c>
      <c r="K168" s="346">
        <f ca="1" t="shared" si="172"/>
        <v>0</v>
      </c>
      <c r="L168" s="346">
        <f ca="1" t="shared" si="173"/>
        <v>0</v>
      </c>
      <c r="M168" s="346">
        <f ca="1" t="shared" si="174"/>
        <v>0</v>
      </c>
      <c r="N168" s="346">
        <f ca="1" t="shared" si="175"/>
        <v>411.276652</v>
      </c>
      <c r="O168" s="359">
        <f ca="1" t="shared" si="149"/>
        <v>0</v>
      </c>
    </row>
    <row r="169" s="332" customFormat="1" spans="1:15">
      <c r="A169" s="344" t="s">
        <v>33</v>
      </c>
      <c r="B169" s="346">
        <f ca="1" t="shared" si="163"/>
        <v>117.870106</v>
      </c>
      <c r="C169" s="346">
        <f ca="1" t="shared" si="164"/>
        <v>69.575429</v>
      </c>
      <c r="D169" s="346">
        <f ca="1" t="shared" si="165"/>
        <v>115.901939</v>
      </c>
      <c r="E169" s="346">
        <f ca="1" t="shared" si="166"/>
        <v>123.756656</v>
      </c>
      <c r="F169" s="346">
        <f ca="1" t="shared" si="167"/>
        <v>0</v>
      </c>
      <c r="G169" s="346">
        <f ca="1" t="shared" si="168"/>
        <v>0</v>
      </c>
      <c r="H169" s="346">
        <f ca="1" t="shared" si="169"/>
        <v>0</v>
      </c>
      <c r="I169" s="346">
        <f ca="1" t="shared" si="170"/>
        <v>0</v>
      </c>
      <c r="J169" s="346">
        <f ca="1" t="shared" si="171"/>
        <v>0</v>
      </c>
      <c r="K169" s="346">
        <f ca="1" t="shared" si="172"/>
        <v>0</v>
      </c>
      <c r="L169" s="346">
        <f ca="1" t="shared" si="173"/>
        <v>0</v>
      </c>
      <c r="M169" s="346">
        <f ca="1" t="shared" si="174"/>
        <v>0</v>
      </c>
      <c r="N169" s="346">
        <f ca="1" t="shared" si="175"/>
        <v>427.10413</v>
      </c>
      <c r="O169" s="359">
        <f ca="1" t="shared" si="149"/>
        <v>0</v>
      </c>
    </row>
    <row r="170" s="332" customFormat="1" spans="1:15">
      <c r="A170" s="360" t="s">
        <v>34</v>
      </c>
      <c r="B170" s="346">
        <v>0</v>
      </c>
      <c r="C170" s="346">
        <v>0</v>
      </c>
      <c r="D170" s="346">
        <v>0</v>
      </c>
      <c r="E170" s="346">
        <v>0</v>
      </c>
      <c r="F170" s="346">
        <v>0</v>
      </c>
      <c r="G170" s="346">
        <v>0</v>
      </c>
      <c r="H170" s="346">
        <v>0</v>
      </c>
      <c r="I170" s="346">
        <v>0</v>
      </c>
      <c r="J170" s="346">
        <v>0</v>
      </c>
      <c r="K170" s="346">
        <v>0</v>
      </c>
      <c r="L170" s="346">
        <v>0</v>
      </c>
      <c r="M170" s="346">
        <v>0</v>
      </c>
      <c r="N170" s="346">
        <v>0</v>
      </c>
      <c r="O170" s="359">
        <v>0</v>
      </c>
    </row>
    <row r="171" s="332" customFormat="1" spans="1:15">
      <c r="A171" s="360" t="s">
        <v>35</v>
      </c>
      <c r="B171" s="346">
        <v>0</v>
      </c>
      <c r="C171" s="346">
        <v>0</v>
      </c>
      <c r="D171" s="346">
        <v>0</v>
      </c>
      <c r="E171" s="346">
        <v>0</v>
      </c>
      <c r="F171" s="346">
        <v>0</v>
      </c>
      <c r="G171" s="346">
        <v>0</v>
      </c>
      <c r="H171" s="346">
        <v>0</v>
      </c>
      <c r="I171" s="346">
        <v>0</v>
      </c>
      <c r="J171" s="346">
        <v>0</v>
      </c>
      <c r="K171" s="346">
        <v>0</v>
      </c>
      <c r="L171" s="346">
        <v>0</v>
      </c>
      <c r="M171" s="346">
        <v>0</v>
      </c>
      <c r="N171" s="346">
        <v>0</v>
      </c>
      <c r="O171" s="359">
        <v>0</v>
      </c>
    </row>
    <row r="172" s="332" customFormat="1" spans="1:15">
      <c r="A172" s="360" t="s">
        <v>36</v>
      </c>
      <c r="B172" s="346">
        <v>0</v>
      </c>
      <c r="C172" s="346">
        <v>0</v>
      </c>
      <c r="D172" s="346">
        <v>0</v>
      </c>
      <c r="E172" s="346">
        <v>0</v>
      </c>
      <c r="F172" s="346">
        <v>0</v>
      </c>
      <c r="G172" s="346">
        <v>0</v>
      </c>
      <c r="H172" s="346">
        <v>0</v>
      </c>
      <c r="I172" s="346">
        <v>0</v>
      </c>
      <c r="J172" s="346">
        <v>0</v>
      </c>
      <c r="K172" s="346">
        <v>0</v>
      </c>
      <c r="L172" s="346">
        <v>0</v>
      </c>
      <c r="M172" s="346">
        <v>0</v>
      </c>
      <c r="N172" s="346">
        <v>0</v>
      </c>
      <c r="O172" s="359">
        <v>0</v>
      </c>
    </row>
    <row r="173" s="332" customFormat="1" spans="1:15">
      <c r="A173" s="347" t="s">
        <v>12</v>
      </c>
      <c r="B173" s="346">
        <f ca="1" t="shared" ref="B173:N173" si="176">SUM(B150:B172)</f>
        <v>4065.014807</v>
      </c>
      <c r="C173" s="346">
        <f ca="1" t="shared" si="176"/>
        <v>3335.71774300001</v>
      </c>
      <c r="D173" s="346">
        <f ca="1" t="shared" si="176"/>
        <v>4101.879416</v>
      </c>
      <c r="E173" s="346">
        <f ca="1" t="shared" si="176"/>
        <v>4435.63326200001</v>
      </c>
      <c r="F173" s="346">
        <f ca="1" t="shared" si="176"/>
        <v>0</v>
      </c>
      <c r="G173" s="346">
        <f ca="1" t="shared" si="176"/>
        <v>0</v>
      </c>
      <c r="H173" s="346">
        <f ca="1" t="shared" si="176"/>
        <v>0</v>
      </c>
      <c r="I173" s="346">
        <f ca="1" t="shared" si="176"/>
        <v>0</v>
      </c>
      <c r="J173" s="346">
        <f ca="1" t="shared" si="176"/>
        <v>0</v>
      </c>
      <c r="K173" s="346">
        <f ca="1" t="shared" si="176"/>
        <v>0</v>
      </c>
      <c r="L173" s="346">
        <f ca="1" t="shared" si="176"/>
        <v>0</v>
      </c>
      <c r="M173" s="346">
        <f ca="1" t="shared" si="176"/>
        <v>0</v>
      </c>
      <c r="N173" s="346">
        <f ca="1" t="shared" si="176"/>
        <v>15938.245228</v>
      </c>
      <c r="O173" s="359">
        <f ca="1" t="shared" si="149"/>
        <v>0</v>
      </c>
    </row>
  </sheetData>
  <autoFilter ref="A2:O32">
    <extLst/>
  </autoFilter>
  <mergeCells count="6">
    <mergeCell ref="A1:N1"/>
    <mergeCell ref="A35:N35"/>
    <mergeCell ref="A64:N64"/>
    <mergeCell ref="A92:N92"/>
    <mergeCell ref="A120:N120"/>
    <mergeCell ref="A148:N14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S143"/>
  <sheetViews>
    <sheetView workbookViewId="0">
      <pane xSplit="3" ySplit="5" topLeftCell="D15" activePane="bottomRight" state="frozen"/>
      <selection/>
      <selection pane="topRight"/>
      <selection pane="bottomLeft"/>
      <selection pane="bottomRight" activeCell="D98" sqref="D98"/>
    </sheetView>
  </sheetViews>
  <sheetFormatPr defaultColWidth="9" defaultRowHeight="14.25"/>
  <cols>
    <col min="1" max="1" width="19.75" style="10" customWidth="1"/>
    <col min="2" max="2" width="15.875" style="10" customWidth="1"/>
    <col min="3" max="3" width="13" style="10" customWidth="1"/>
    <col min="4" max="4" width="15.875" style="10" customWidth="1"/>
    <col min="5" max="5" width="18.125" style="6" customWidth="1"/>
    <col min="6" max="6" width="16.25" style="6" customWidth="1"/>
    <col min="7" max="7" width="15.875" style="10" customWidth="1"/>
    <col min="8" max="8" width="16.125" style="10" customWidth="1"/>
    <col min="9" max="9" width="16.25" style="10" customWidth="1"/>
    <col min="10" max="10" width="16.875" style="10" customWidth="1"/>
    <col min="11" max="11" width="15.875" style="10" customWidth="1"/>
    <col min="12" max="12" width="16.125" style="10" customWidth="1"/>
    <col min="13" max="13" width="16.25" style="10" customWidth="1"/>
    <col min="14" max="14" width="18.375" style="10" customWidth="1"/>
    <col min="15" max="15" width="17.25" style="10" customWidth="1"/>
    <col min="16" max="16" width="18.375" style="10" customWidth="1"/>
    <col min="17" max="17" width="18.625" style="10" customWidth="1"/>
    <col min="18" max="19" width="19.5" style="10" customWidth="1"/>
    <col min="20" max="16384" width="9" style="10"/>
  </cols>
  <sheetData>
    <row r="1" s="1" customFormat="1" ht="28.5" customHeight="1" spans="1:6">
      <c r="A1" s="69" t="s">
        <v>63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321" t="str">
        <f>"编制期间："&amp;YEAR(封面!$H$15)&amp;"年"&amp;MONTH(封面!$H$15)&amp;"月"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322">
        <v>43831</v>
      </c>
      <c r="E5" s="322">
        <v>43862</v>
      </c>
      <c r="F5" s="322">
        <v>43891</v>
      </c>
      <c r="G5" s="322">
        <v>43922</v>
      </c>
      <c r="H5" s="322">
        <v>43952</v>
      </c>
      <c r="I5" s="322">
        <v>43983</v>
      </c>
      <c r="J5" s="322">
        <v>44013</v>
      </c>
      <c r="K5" s="322">
        <v>44044</v>
      </c>
      <c r="L5" s="322">
        <v>44075</v>
      </c>
      <c r="M5" s="322">
        <v>44105</v>
      </c>
      <c r="N5" s="322">
        <v>44136</v>
      </c>
      <c r="O5" s="322">
        <v>44166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f>SUM('G-高新:G-浙江天硕'!D6)</f>
        <v>4892069.09</v>
      </c>
      <c r="E6" s="21">
        <f>SUM('G-高新:G-浙江天硕'!E6)</f>
        <v>5294277.7</v>
      </c>
      <c r="F6" s="21">
        <f>SUM('G-高新:G-浙江天硕'!F6)</f>
        <v>5035465.15</v>
      </c>
      <c r="G6" s="21">
        <f>SUM('G-高新:G-浙江天硕'!G6)</f>
        <v>4560881.48</v>
      </c>
      <c r="H6" s="21">
        <f>SUM('G-高新:G-浙江天硕'!H6)</f>
        <v>-36.694756</v>
      </c>
      <c r="I6" s="21">
        <f>SUM('G-高新:G-浙江天硕'!I6)</f>
        <v>0</v>
      </c>
      <c r="J6" s="21">
        <f>SUM('G-高新:G-浙江天硕'!J6)</f>
        <v>0</v>
      </c>
      <c r="K6" s="21">
        <f>SUM('G-高新:G-浙江天硕'!K6)</f>
        <v>0</v>
      </c>
      <c r="L6" s="21">
        <f>SUM('G-高新:G-浙江天硕'!L6)</f>
        <v>0</v>
      </c>
      <c r="M6" s="21">
        <f>SUM('G-高新:G-浙江天硕'!M6)</f>
        <v>0</v>
      </c>
      <c r="N6" s="21">
        <f>SUM('G-高新:G-浙江天硕'!N6)</f>
        <v>0</v>
      </c>
      <c r="O6" s="21">
        <f>SUM('G-高新:G-浙江天硕'!O6)</f>
        <v>0</v>
      </c>
      <c r="P6" s="47">
        <f>SUM(D6:O6)</f>
        <v>19782656.725244</v>
      </c>
      <c r="Q6" s="48">
        <f>P6+P7+P8+P19+P22+P23+P24+P25+P26</f>
        <v>24388414.191944</v>
      </c>
      <c r="R6" s="48"/>
      <c r="S6" s="48"/>
    </row>
    <row r="7" s="5" customFormat="1" ht="17.25" customHeight="1" spans="1:16">
      <c r="A7" s="199"/>
      <c r="B7" s="23"/>
      <c r="C7" s="20" t="s">
        <v>71</v>
      </c>
      <c r="D7" s="21">
        <f>SUM('G-高新:G-浙江天硕'!D7)</f>
        <v>502521.64</v>
      </c>
      <c r="E7" s="21">
        <f>SUM('G-高新:G-浙江天硕'!E7)</f>
        <v>760892.63</v>
      </c>
      <c r="F7" s="21">
        <f>SUM('G-高新:G-浙江天硕'!F7)</f>
        <v>631342.91</v>
      </c>
      <c r="G7" s="21">
        <f>SUM('G-高新:G-浙江天硕'!G7)</f>
        <v>841123.27</v>
      </c>
      <c r="H7" s="21">
        <f>SUM('G-高新:G-浙江天硕'!H7)</f>
        <v>-0.513801999999998</v>
      </c>
      <c r="I7" s="21">
        <f>SUM('G-高新:G-浙江天硕'!I7)</f>
        <v>0</v>
      </c>
      <c r="J7" s="21">
        <f>SUM('G-高新:G-浙江天硕'!J7)</f>
        <v>0</v>
      </c>
      <c r="K7" s="21">
        <f>SUM('G-高新:G-浙江天硕'!K7)</f>
        <v>0</v>
      </c>
      <c r="L7" s="21">
        <f>SUM('G-高新:G-浙江天硕'!L7)</f>
        <v>0</v>
      </c>
      <c r="M7" s="21">
        <f>SUM('G-高新:G-浙江天硕'!M7)</f>
        <v>0</v>
      </c>
      <c r="N7" s="21">
        <f>SUM('G-高新:G-浙江天硕'!N7)</f>
        <v>0</v>
      </c>
      <c r="O7" s="21">
        <f>SUM('G-高新:G-浙江天硕'!O7)</f>
        <v>0</v>
      </c>
      <c r="P7" s="47">
        <f t="shared" ref="P7:P70" si="0">SUM(D7:O7)</f>
        <v>2735879.936198</v>
      </c>
    </row>
    <row r="8" s="279" customFormat="1" ht="17.25" customHeight="1" spans="1:16">
      <c r="A8" s="199"/>
      <c r="B8" s="281" t="s">
        <v>72</v>
      </c>
      <c r="C8" s="323" t="s">
        <v>72</v>
      </c>
      <c r="D8" s="170">
        <f>SUM('G-高新:G-浙江天硕'!D8)+D136</f>
        <v>96077.89</v>
      </c>
      <c r="E8" s="170">
        <f>SUM('G-高新:G-浙江天硕'!E8)+E136</f>
        <v>79411.46</v>
      </c>
      <c r="F8" s="170">
        <f>SUM('G-高新:G-浙江天硕'!F8)+F136</f>
        <v>163110.91</v>
      </c>
      <c r="G8" s="170">
        <f>SUM('G-高新:G-浙江天硕'!G8)+G136</f>
        <v>247113.63</v>
      </c>
      <c r="H8" s="170">
        <f>SUM('G-高新:G-浙江天硕'!H8)+H136</f>
        <v>-94336.482908</v>
      </c>
      <c r="I8" s="170">
        <f>SUM('G-高新:G-浙江天硕'!I8)+I136</f>
        <v>-94339.62</v>
      </c>
      <c r="J8" s="170">
        <f>SUM('G-高新:G-浙江天硕'!J8)+J136</f>
        <v>-94339.62</v>
      </c>
      <c r="K8" s="170">
        <f>SUM('G-高新:G-浙江天硕'!K8)+K136</f>
        <v>-94339.62</v>
      </c>
      <c r="L8" s="170">
        <f>SUM('G-高新:G-浙江天硕'!L8)+L136</f>
        <v>-94339.62</v>
      </c>
      <c r="M8" s="170">
        <f>SUM('G-高新:G-浙江天硕'!M8)+M136</f>
        <v>-94339.62</v>
      </c>
      <c r="N8" s="170">
        <f>SUM('G-高新:G-浙江天硕'!N8)+N136</f>
        <v>-94339.62</v>
      </c>
      <c r="O8" s="170">
        <f>SUM('G-高新:G-浙江天硕'!O8)+O136</f>
        <v>-94339.62</v>
      </c>
      <c r="P8" s="180">
        <f t="shared" si="0"/>
        <v>-168999.932908</v>
      </c>
    </row>
    <row r="9" s="5" customFormat="1" ht="17.25" customHeight="1" spans="1:16">
      <c r="A9" s="199"/>
      <c r="B9" s="19" t="s">
        <v>73</v>
      </c>
      <c r="C9" s="20" t="s">
        <v>73</v>
      </c>
      <c r="D9" s="21">
        <f>SUM('G-高新:G-浙江天硕'!D9)</f>
        <v>4040</v>
      </c>
      <c r="E9" s="21">
        <f>SUM('G-高新:G-浙江天硕'!E9)</f>
        <v>2500</v>
      </c>
      <c r="F9" s="21">
        <f>SUM('G-高新:G-浙江天硕'!F9)</f>
        <v>4300</v>
      </c>
      <c r="G9" s="21">
        <f>SUM('G-高新:G-浙江天硕'!G9)</f>
        <v>0</v>
      </c>
      <c r="H9" s="21">
        <f>SUM('G-高新:G-浙江天硕'!H9)</f>
        <v>-0.1</v>
      </c>
      <c r="I9" s="21">
        <f>SUM('G-高新:G-浙江天硕'!I9)</f>
        <v>0</v>
      </c>
      <c r="J9" s="21">
        <f>SUM('G-高新:G-浙江天硕'!J9)</f>
        <v>0</v>
      </c>
      <c r="K9" s="21">
        <f>SUM('G-高新:G-浙江天硕'!K9)</f>
        <v>0</v>
      </c>
      <c r="L9" s="21">
        <f>SUM('G-高新:G-浙江天硕'!L9)</f>
        <v>0</v>
      </c>
      <c r="M9" s="21">
        <f>SUM('G-高新:G-浙江天硕'!M9)</f>
        <v>0</v>
      </c>
      <c r="N9" s="21">
        <f>SUM('G-高新:G-浙江天硕'!N9)</f>
        <v>0</v>
      </c>
      <c r="O9" s="21">
        <f>SUM('G-高新:G-浙江天硕'!O9)</f>
        <v>0</v>
      </c>
      <c r="P9" s="47">
        <f t="shared" si="0"/>
        <v>10839.9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f>SUM('G-高新:G-浙江天硕'!D10)</f>
        <v>-45836.44</v>
      </c>
      <c r="E10" s="21">
        <f>SUM('G-高新:G-浙江天硕'!E10)</f>
        <v>91817.8</v>
      </c>
      <c r="F10" s="21">
        <f>SUM('G-高新:G-浙江天硕'!F10)</f>
        <v>807154.75</v>
      </c>
      <c r="G10" s="21">
        <f>SUM('G-高新:G-浙江天硕'!G10)</f>
        <v>303981.96</v>
      </c>
      <c r="H10" s="21">
        <f>SUM('G-高新:G-浙江天硕'!H10)</f>
        <v>-43.479479</v>
      </c>
      <c r="I10" s="21">
        <f>SUM('G-高新:G-浙江天硕'!I10)</f>
        <v>0</v>
      </c>
      <c r="J10" s="21">
        <f>SUM('G-高新:G-浙江天硕'!J10)</f>
        <v>0</v>
      </c>
      <c r="K10" s="21">
        <f>SUM('G-高新:G-浙江天硕'!K10)</f>
        <v>0</v>
      </c>
      <c r="L10" s="21">
        <f>SUM('G-高新:G-浙江天硕'!L10)</f>
        <v>0</v>
      </c>
      <c r="M10" s="21">
        <f>SUM('G-高新:G-浙江天硕'!M10)</f>
        <v>0</v>
      </c>
      <c r="N10" s="21">
        <f>SUM('G-高新:G-浙江天硕'!N10)</f>
        <v>0</v>
      </c>
      <c r="O10" s="21">
        <f>SUM('G-高新:G-浙江天硕'!O10)</f>
        <v>0</v>
      </c>
      <c r="P10" s="47">
        <f t="shared" si="0"/>
        <v>1157074.590521</v>
      </c>
    </row>
    <row r="11" s="5" customFormat="1" ht="17.25" customHeight="1" spans="1:16">
      <c r="A11" s="199"/>
      <c r="B11" s="24"/>
      <c r="C11" s="25" t="s">
        <v>76</v>
      </c>
      <c r="D11" s="21">
        <f>SUM('G-高新:G-浙江天硕'!D11)</f>
        <v>141753.33</v>
      </c>
      <c r="E11" s="21">
        <f>SUM('G-高新:G-浙江天硕'!E11)</f>
        <v>154194.99</v>
      </c>
      <c r="F11" s="21">
        <f>SUM('G-高新:G-浙江天硕'!F11)</f>
        <v>182480.5</v>
      </c>
      <c r="G11" s="21">
        <f>SUM('G-高新:G-浙江天硕'!G11)</f>
        <v>319597.03</v>
      </c>
      <c r="H11" s="21">
        <f>SUM('G-高新:G-浙江天硕'!H11)</f>
        <v>26.362668</v>
      </c>
      <c r="I11" s="21">
        <f>SUM('G-高新:G-浙江天硕'!I11)</f>
        <v>0</v>
      </c>
      <c r="J11" s="21">
        <f>SUM('G-高新:G-浙江天硕'!J11)</f>
        <v>0</v>
      </c>
      <c r="K11" s="21">
        <f>SUM('G-高新:G-浙江天硕'!K11)</f>
        <v>0</v>
      </c>
      <c r="L11" s="21">
        <f>SUM('G-高新:G-浙江天硕'!L11)</f>
        <v>0</v>
      </c>
      <c r="M11" s="21">
        <f>SUM('G-高新:G-浙江天硕'!M11)</f>
        <v>0</v>
      </c>
      <c r="N11" s="21">
        <f>SUM('G-高新:G-浙江天硕'!N11)</f>
        <v>0</v>
      </c>
      <c r="O11" s="21">
        <f>SUM('G-高新:G-浙江天硕'!O11)</f>
        <v>0</v>
      </c>
      <c r="P11" s="47">
        <f t="shared" si="0"/>
        <v>798052.212668</v>
      </c>
    </row>
    <row r="12" s="5" customFormat="1" ht="17.25" customHeight="1" spans="1:16">
      <c r="A12" s="199"/>
      <c r="B12" s="24"/>
      <c r="C12" s="20" t="s">
        <v>77</v>
      </c>
      <c r="D12" s="21">
        <f>SUM('G-高新:G-浙江天硕'!D12)</f>
        <v>0</v>
      </c>
      <c r="E12" s="21">
        <f>SUM('G-高新:G-浙江天硕'!E12)</f>
        <v>0</v>
      </c>
      <c r="F12" s="21">
        <f>SUM('G-高新:G-浙江天硕'!F12)</f>
        <v>77670</v>
      </c>
      <c r="G12" s="21">
        <f>SUM('G-高新:G-浙江天硕'!G12)</f>
        <v>59505</v>
      </c>
      <c r="H12" s="21">
        <f>SUM('G-高新:G-浙江天硕'!H12)</f>
        <v>0</v>
      </c>
      <c r="I12" s="21">
        <f>SUM('G-高新:G-浙江天硕'!I12)</f>
        <v>0</v>
      </c>
      <c r="J12" s="21">
        <f>SUM('G-高新:G-浙江天硕'!J12)</f>
        <v>0</v>
      </c>
      <c r="K12" s="21">
        <f>SUM('G-高新:G-浙江天硕'!K12)</f>
        <v>0</v>
      </c>
      <c r="L12" s="21">
        <f>SUM('G-高新:G-浙江天硕'!L12)</f>
        <v>0</v>
      </c>
      <c r="M12" s="21">
        <f>SUM('G-高新:G-浙江天硕'!M12)</f>
        <v>0</v>
      </c>
      <c r="N12" s="21">
        <f>SUM('G-高新:G-浙江天硕'!N12)</f>
        <v>0</v>
      </c>
      <c r="O12" s="21">
        <f>SUM('G-高新:G-浙江天硕'!O12)</f>
        <v>0</v>
      </c>
      <c r="P12" s="47">
        <f t="shared" si="0"/>
        <v>137175</v>
      </c>
    </row>
    <row r="13" s="5" customFormat="1" ht="17.25" customHeight="1" spans="1:16">
      <c r="A13" s="199"/>
      <c r="B13" s="24"/>
      <c r="C13" s="25" t="s">
        <v>78</v>
      </c>
      <c r="D13" s="21">
        <f>SUM('G-高新:G-浙江天硕'!D13)</f>
        <v>13284.91</v>
      </c>
      <c r="E13" s="21">
        <f>SUM('G-高新:G-浙江天硕'!E13)</f>
        <v>0</v>
      </c>
      <c r="F13" s="21">
        <f>SUM('G-高新:G-浙江天硕'!F13)</f>
        <v>3668.99</v>
      </c>
      <c r="G13" s="21">
        <f>SUM('G-高新:G-浙江天硕'!G13)</f>
        <v>10969.87</v>
      </c>
      <c r="H13" s="21">
        <f>SUM('G-高新:G-浙江天硕'!H13)</f>
        <v>1.134096</v>
      </c>
      <c r="I13" s="21">
        <f>SUM('G-高新:G-浙江天硕'!I13)</f>
        <v>0</v>
      </c>
      <c r="J13" s="21">
        <f>SUM('G-高新:G-浙江天硕'!J13)</f>
        <v>0</v>
      </c>
      <c r="K13" s="21">
        <f>SUM('G-高新:G-浙江天硕'!K13)</f>
        <v>0</v>
      </c>
      <c r="L13" s="21">
        <f>SUM('G-高新:G-浙江天硕'!L13)</f>
        <v>0</v>
      </c>
      <c r="M13" s="21">
        <f>SUM('G-高新:G-浙江天硕'!M13)</f>
        <v>0</v>
      </c>
      <c r="N13" s="21">
        <f>SUM('G-高新:G-浙江天硕'!N13)</f>
        <v>0</v>
      </c>
      <c r="O13" s="21">
        <f>SUM('G-高新:G-浙江天硕'!O13)</f>
        <v>0</v>
      </c>
      <c r="P13" s="47">
        <f t="shared" si="0"/>
        <v>27924.904096</v>
      </c>
    </row>
    <row r="14" s="5" customFormat="1" ht="17.25" customHeight="1" spans="1:16">
      <c r="A14" s="199"/>
      <c r="B14" s="24"/>
      <c r="C14" s="20" t="s">
        <v>79</v>
      </c>
      <c r="D14" s="21">
        <f>SUM('G-高新:G-浙江天硕'!D14)</f>
        <v>3800</v>
      </c>
      <c r="E14" s="21">
        <f>SUM('G-高新:G-浙江天硕'!E14)</f>
        <v>62400</v>
      </c>
      <c r="F14" s="21">
        <f>SUM('G-高新:G-浙江天硕'!F14)</f>
        <v>5800</v>
      </c>
      <c r="G14" s="21">
        <f>SUM('G-高新:G-浙江天硕'!G14)</f>
        <v>8900</v>
      </c>
      <c r="H14" s="21">
        <f>SUM('G-高新:G-浙江天硕'!H14)</f>
        <v>0.425</v>
      </c>
      <c r="I14" s="21">
        <f>SUM('G-高新:G-浙江天硕'!I14)</f>
        <v>0</v>
      </c>
      <c r="J14" s="21">
        <f>SUM('G-高新:G-浙江天硕'!J14)</f>
        <v>0</v>
      </c>
      <c r="K14" s="21">
        <f>SUM('G-高新:G-浙江天硕'!K14)</f>
        <v>0</v>
      </c>
      <c r="L14" s="21">
        <f>SUM('G-高新:G-浙江天硕'!L14)</f>
        <v>0</v>
      </c>
      <c r="M14" s="21">
        <f>SUM('G-高新:G-浙江天硕'!M14)</f>
        <v>0</v>
      </c>
      <c r="N14" s="21">
        <f>SUM('G-高新:G-浙江天硕'!N14)</f>
        <v>0</v>
      </c>
      <c r="O14" s="21">
        <f>SUM('G-高新:G-浙江天硕'!O14)</f>
        <v>0</v>
      </c>
      <c r="P14" s="47">
        <f t="shared" si="0"/>
        <v>80900.425</v>
      </c>
    </row>
    <row r="15" s="5" customFormat="1" ht="17.25" customHeight="1" spans="1:16">
      <c r="A15" s="199"/>
      <c r="B15" s="24"/>
      <c r="C15" s="25" t="s">
        <v>80</v>
      </c>
      <c r="D15" s="21">
        <f>SUM('G-高新:G-浙江天硕'!D15)</f>
        <v>0</v>
      </c>
      <c r="E15" s="21">
        <f>SUM('G-高新:G-浙江天硕'!E15)</f>
        <v>0</v>
      </c>
      <c r="F15" s="21">
        <f>SUM('G-高新:G-浙江天硕'!F15)</f>
        <v>-1.70530256582424e-13</v>
      </c>
      <c r="G15" s="21">
        <f>SUM('G-高新:G-浙江天硕'!G15)</f>
        <v>0</v>
      </c>
      <c r="H15" s="21">
        <f>SUM('G-高新:G-浙江天硕'!H15)</f>
        <v>0</v>
      </c>
      <c r="I15" s="21">
        <f>SUM('G-高新:G-浙江天硕'!I15)</f>
        <v>0</v>
      </c>
      <c r="J15" s="21">
        <f>SUM('G-高新:G-浙江天硕'!J15)</f>
        <v>0</v>
      </c>
      <c r="K15" s="21">
        <f>SUM('G-高新:G-浙江天硕'!K15)</f>
        <v>0</v>
      </c>
      <c r="L15" s="21">
        <f>SUM('G-高新:G-浙江天硕'!L15)</f>
        <v>0</v>
      </c>
      <c r="M15" s="21">
        <f>SUM('G-高新:G-浙江天硕'!M15)</f>
        <v>0</v>
      </c>
      <c r="N15" s="21">
        <f>SUM('G-高新:G-浙江天硕'!N15)</f>
        <v>0</v>
      </c>
      <c r="O15" s="21">
        <f>SUM('G-高新:G-浙江天硕'!O15)</f>
        <v>0</v>
      </c>
      <c r="P15" s="47">
        <f t="shared" si="0"/>
        <v>-1.70530256582424e-13</v>
      </c>
    </row>
    <row r="16" s="5" customFormat="1" ht="17.25" customHeight="1" spans="1:16">
      <c r="A16" s="199"/>
      <c r="B16" s="24"/>
      <c r="C16" s="25" t="s">
        <v>81</v>
      </c>
      <c r="D16" s="21">
        <f>SUM('G-高新:G-浙江天硕'!D16)</f>
        <v>-877.5</v>
      </c>
      <c r="E16" s="21">
        <f>SUM('G-高新:G-浙江天硕'!E16)</f>
        <v>23394.5</v>
      </c>
      <c r="F16" s="21">
        <f>SUM('G-高新:G-浙江天硕'!F16)</f>
        <v>-22930.5</v>
      </c>
      <c r="G16" s="21">
        <f>SUM('G-高新:G-浙江天硕'!G16)</f>
        <v>352</v>
      </c>
      <c r="H16" s="21">
        <f>SUM('G-高新:G-浙江天硕'!H16)</f>
        <v>0</v>
      </c>
      <c r="I16" s="21">
        <f>SUM('G-高新:G-浙江天硕'!I16)</f>
        <v>0</v>
      </c>
      <c r="J16" s="21">
        <f>SUM('G-高新:G-浙江天硕'!J16)</f>
        <v>0</v>
      </c>
      <c r="K16" s="21">
        <f>SUM('G-高新:G-浙江天硕'!K16)</f>
        <v>0</v>
      </c>
      <c r="L16" s="21">
        <f>SUM('G-高新:G-浙江天硕'!L16)</f>
        <v>0</v>
      </c>
      <c r="M16" s="21">
        <f>SUM('G-高新:G-浙江天硕'!M16)</f>
        <v>0</v>
      </c>
      <c r="N16" s="21">
        <f>SUM('G-高新:G-浙江天硕'!N16)</f>
        <v>0</v>
      </c>
      <c r="O16" s="21">
        <f>SUM('G-高新:G-浙江天硕'!O16)</f>
        <v>0</v>
      </c>
      <c r="P16" s="47">
        <f t="shared" si="0"/>
        <v>-61.5</v>
      </c>
    </row>
    <row r="17" s="5" customFormat="1" ht="17.25" customHeight="1" spans="1:16">
      <c r="A17" s="199"/>
      <c r="B17" s="24"/>
      <c r="C17" s="25" t="s">
        <v>82</v>
      </c>
      <c r="D17" s="21">
        <f>SUM('G-高新:G-浙江天硕'!D17)</f>
        <v>0</v>
      </c>
      <c r="E17" s="21">
        <f>SUM('G-高新:G-浙江天硕'!E17)</f>
        <v>68955.19</v>
      </c>
      <c r="F17" s="21">
        <f>SUM('G-高新:G-浙江天硕'!F17)</f>
        <v>0</v>
      </c>
      <c r="G17" s="21">
        <f>SUM('G-高新:G-浙江天硕'!G17)</f>
        <v>-61057.7</v>
      </c>
      <c r="H17" s="21">
        <f>SUM('G-高新:G-浙江天硕'!H17)</f>
        <v>0</v>
      </c>
      <c r="I17" s="21">
        <f>SUM('G-高新:G-浙江天硕'!I17)</f>
        <v>0</v>
      </c>
      <c r="J17" s="21">
        <f>SUM('G-高新:G-浙江天硕'!J17)</f>
        <v>0</v>
      </c>
      <c r="K17" s="21">
        <f>SUM('G-高新:G-浙江天硕'!K17)</f>
        <v>0</v>
      </c>
      <c r="L17" s="21">
        <f>SUM('G-高新:G-浙江天硕'!L17)</f>
        <v>0</v>
      </c>
      <c r="M17" s="21">
        <f>SUM('G-高新:G-浙江天硕'!M17)</f>
        <v>0</v>
      </c>
      <c r="N17" s="21">
        <f>SUM('G-高新:G-浙江天硕'!N17)</f>
        <v>0</v>
      </c>
      <c r="O17" s="21">
        <f>SUM('G-高新:G-浙江天硕'!O17)</f>
        <v>0</v>
      </c>
      <c r="P17" s="47">
        <f t="shared" si="0"/>
        <v>7897.49000000001</v>
      </c>
    </row>
    <row r="18" s="5" customFormat="1" ht="17.25" customHeight="1" spans="1:16">
      <c r="A18" s="199"/>
      <c r="B18" s="23"/>
      <c r="C18" s="25" t="s">
        <v>83</v>
      </c>
      <c r="D18" s="21">
        <f>SUM('G-高新:G-浙江天硕'!D18)</f>
        <v>251014.2</v>
      </c>
      <c r="E18" s="21">
        <f>SUM('G-高新:G-浙江天硕'!E18)</f>
        <v>-24889.81</v>
      </c>
      <c r="F18" s="21">
        <f>SUM('G-高新:G-浙江天硕'!F18)</f>
        <v>334925.15</v>
      </c>
      <c r="G18" s="21">
        <f>SUM('G-高新:G-浙江天硕'!G18)</f>
        <v>428623.07</v>
      </c>
      <c r="H18" s="21">
        <f>SUM('G-高新:G-浙江天硕'!H18)</f>
        <v>11.450146</v>
      </c>
      <c r="I18" s="21">
        <f>SUM('G-高新:G-浙江天硕'!I18)</f>
        <v>0</v>
      </c>
      <c r="J18" s="21">
        <f>SUM('G-高新:G-浙江天硕'!J18)</f>
        <v>0</v>
      </c>
      <c r="K18" s="21">
        <f>SUM('G-高新:G-浙江天硕'!K18)</f>
        <v>0</v>
      </c>
      <c r="L18" s="21">
        <f>SUM('G-高新:G-浙江天硕'!L18)</f>
        <v>0</v>
      </c>
      <c r="M18" s="21">
        <f>SUM('G-高新:G-浙江天硕'!M18)</f>
        <v>0</v>
      </c>
      <c r="N18" s="21">
        <f>SUM('G-高新:G-浙江天硕'!N18)</f>
        <v>0</v>
      </c>
      <c r="O18" s="21">
        <f>SUM('G-高新:G-浙江天硕'!O18)</f>
        <v>0</v>
      </c>
      <c r="P18" s="47">
        <f t="shared" si="0"/>
        <v>989684.060146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f>SUM('G-高新:G-浙江天硕'!D19)</f>
        <v>175457</v>
      </c>
      <c r="E19" s="21">
        <f>SUM('G-高新:G-浙江天硕'!E19)</f>
        <v>220667</v>
      </c>
      <c r="F19" s="21">
        <f>SUM('G-高新:G-浙江天硕'!F19)</f>
        <v>231346</v>
      </c>
      <c r="G19" s="21">
        <f>SUM('G-高新:G-浙江天硕'!G19)</f>
        <v>175427</v>
      </c>
      <c r="H19" s="21">
        <f>SUM('G-高新:G-浙江天硕'!H19)</f>
        <v>-0.7442</v>
      </c>
      <c r="I19" s="21">
        <f>SUM('G-高新:G-浙江天硕'!I19)</f>
        <v>0</v>
      </c>
      <c r="J19" s="21">
        <f>SUM('G-高新:G-浙江天硕'!J19)</f>
        <v>0</v>
      </c>
      <c r="K19" s="21">
        <f>SUM('G-高新:G-浙江天硕'!K19)</f>
        <v>0</v>
      </c>
      <c r="L19" s="21">
        <f>SUM('G-高新:G-浙江天硕'!L19)</f>
        <v>0</v>
      </c>
      <c r="M19" s="21">
        <f>SUM('G-高新:G-浙江天硕'!M19)</f>
        <v>0</v>
      </c>
      <c r="N19" s="21">
        <f>SUM('G-高新:G-浙江天硕'!N19)</f>
        <v>0</v>
      </c>
      <c r="O19" s="21">
        <f>SUM('G-高新:G-浙江天硕'!O19)</f>
        <v>0</v>
      </c>
      <c r="P19" s="47">
        <f t="shared" si="0"/>
        <v>802896.2558</v>
      </c>
    </row>
    <row r="20" s="5" customFormat="1" ht="17.25" customHeight="1" spans="1:16">
      <c r="A20" s="199"/>
      <c r="B20" s="19" t="s">
        <v>85</v>
      </c>
      <c r="C20" s="20" t="s">
        <v>85</v>
      </c>
      <c r="D20" s="21">
        <f>SUM('G-高新:G-浙江天硕'!D20)</f>
        <v>251520.91</v>
      </c>
      <c r="E20" s="21">
        <f>SUM('G-高新:G-浙江天硕'!E20)</f>
        <v>192887.59</v>
      </c>
      <c r="F20" s="21">
        <f>SUM('G-高新:G-浙江天硕'!F20)</f>
        <v>194528.74</v>
      </c>
      <c r="G20" s="21">
        <f>SUM('G-高新:G-浙江天硕'!G20)</f>
        <v>107026.21</v>
      </c>
      <c r="H20" s="21">
        <f>SUM('G-高新:G-浙江天硕'!H20)</f>
        <v>-0.675169999999998</v>
      </c>
      <c r="I20" s="21">
        <f>SUM('G-高新:G-浙江天硕'!I20)</f>
        <v>0</v>
      </c>
      <c r="J20" s="21">
        <f>SUM('G-高新:G-浙江天硕'!J20)</f>
        <v>0</v>
      </c>
      <c r="K20" s="21">
        <f>SUM('G-高新:G-浙江天硕'!K20)</f>
        <v>0</v>
      </c>
      <c r="L20" s="21">
        <f>SUM('G-高新:G-浙江天硕'!L20)</f>
        <v>0</v>
      </c>
      <c r="M20" s="21">
        <f>SUM('G-高新:G-浙江天硕'!M20)</f>
        <v>0</v>
      </c>
      <c r="N20" s="21">
        <f>SUM('G-高新:G-浙江天硕'!N20)</f>
        <v>0</v>
      </c>
      <c r="O20" s="21">
        <f>SUM('G-高新:G-浙江天硕'!O20)</f>
        <v>0</v>
      </c>
      <c r="P20" s="47">
        <f t="shared" si="0"/>
        <v>745962.77483</v>
      </c>
    </row>
    <row r="21" s="5" customFormat="1" ht="17.25" customHeight="1" spans="1:16">
      <c r="A21" s="199"/>
      <c r="B21" s="19" t="s">
        <v>86</v>
      </c>
      <c r="C21" s="20" t="s">
        <v>86</v>
      </c>
      <c r="D21" s="21">
        <f>SUM('G-高新:G-浙江天硕'!D21)</f>
        <v>15182.29</v>
      </c>
      <c r="E21" s="21">
        <f>SUM('G-高新:G-浙江天硕'!E21)</f>
        <v>2798.59</v>
      </c>
      <c r="F21" s="21">
        <f>SUM('G-高新:G-浙江天硕'!F21)</f>
        <v>24587.86</v>
      </c>
      <c r="G21" s="21">
        <f>SUM('G-高新:G-浙江天硕'!G21)</f>
        <v>13035.38</v>
      </c>
      <c r="H21" s="21">
        <f>SUM('G-高新:G-浙江天硕'!H21)</f>
        <v>-0.975239</v>
      </c>
      <c r="I21" s="21">
        <f>SUM('G-高新:G-浙江天硕'!I21)</f>
        <v>0</v>
      </c>
      <c r="J21" s="21">
        <f>SUM('G-高新:G-浙江天硕'!J21)</f>
        <v>0</v>
      </c>
      <c r="K21" s="21">
        <f>SUM('G-高新:G-浙江天硕'!K21)</f>
        <v>0</v>
      </c>
      <c r="L21" s="21">
        <f>SUM('G-高新:G-浙江天硕'!L21)</f>
        <v>0</v>
      </c>
      <c r="M21" s="21">
        <f>SUM('G-高新:G-浙江天硕'!M21)</f>
        <v>0</v>
      </c>
      <c r="N21" s="21">
        <f>SUM('G-高新:G-浙江天硕'!N21)</f>
        <v>0</v>
      </c>
      <c r="O21" s="21">
        <f>SUM('G-高新:G-浙江天硕'!O21)</f>
        <v>0</v>
      </c>
      <c r="P21" s="47">
        <f t="shared" si="0"/>
        <v>55603.144761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f>SUM('G-高新:G-浙江天硕'!D22)</f>
        <v>317658.51</v>
      </c>
      <c r="E22" s="21">
        <f>SUM('G-高新:G-浙江天硕'!E22)</f>
        <v>427970.42</v>
      </c>
      <c r="F22" s="21">
        <f>SUM('G-高新:G-浙江天硕'!F22)</f>
        <v>-314890.44</v>
      </c>
      <c r="G22" s="21">
        <f>SUM('G-高新:G-浙江天硕'!G22)</f>
        <v>36870.47</v>
      </c>
      <c r="H22" s="21">
        <f>SUM('G-高新:G-浙江天硕'!H22)</f>
        <v>8.860472</v>
      </c>
      <c r="I22" s="21">
        <f>SUM('G-高新:G-浙江天硕'!I22)</f>
        <v>0</v>
      </c>
      <c r="J22" s="21">
        <f>SUM('G-高新:G-浙江天硕'!J22)</f>
        <v>0</v>
      </c>
      <c r="K22" s="21">
        <f>SUM('G-高新:G-浙江天硕'!K22)</f>
        <v>0</v>
      </c>
      <c r="L22" s="21">
        <f>SUM('G-高新:G-浙江天硕'!L22)</f>
        <v>0</v>
      </c>
      <c r="M22" s="21">
        <f>SUM('G-高新:G-浙江天硕'!M22)</f>
        <v>0</v>
      </c>
      <c r="N22" s="21">
        <f>SUM('G-高新:G-浙江天硕'!N22)</f>
        <v>0</v>
      </c>
      <c r="O22" s="21">
        <f>SUM('G-高新:G-浙江天硕'!O22)</f>
        <v>0</v>
      </c>
      <c r="P22" s="47">
        <f t="shared" si="0"/>
        <v>467617.820472</v>
      </c>
    </row>
    <row r="23" s="5" customFormat="1" ht="17.25" customHeight="1" spans="1:16">
      <c r="A23" s="199"/>
      <c r="B23" s="24"/>
      <c r="C23" s="25" t="s">
        <v>89</v>
      </c>
      <c r="D23" s="21">
        <f>SUM('G-高新:G-浙江天硕'!D23)</f>
        <v>7748.2</v>
      </c>
      <c r="E23" s="21">
        <f>SUM('G-高新:G-浙江天硕'!E23)</f>
        <v>11248.28</v>
      </c>
      <c r="F23" s="21">
        <f>SUM('G-高新:G-浙江天硕'!F23)</f>
        <v>-4167.25</v>
      </c>
      <c r="G23" s="21">
        <f>SUM('G-高新:G-浙江天硕'!G23)</f>
        <v>-3739.1</v>
      </c>
      <c r="H23" s="21">
        <f>SUM('G-高新:G-浙江天硕'!H23)</f>
        <v>-0.132686</v>
      </c>
      <c r="I23" s="21">
        <f>SUM('G-高新:G-浙江天硕'!I23)</f>
        <v>0</v>
      </c>
      <c r="J23" s="21">
        <f>SUM('G-高新:G-浙江天硕'!J23)</f>
        <v>0</v>
      </c>
      <c r="K23" s="21">
        <f>SUM('G-高新:G-浙江天硕'!K23)</f>
        <v>0</v>
      </c>
      <c r="L23" s="21">
        <f>SUM('G-高新:G-浙江天硕'!L23)</f>
        <v>0</v>
      </c>
      <c r="M23" s="21">
        <f>SUM('G-高新:G-浙江天硕'!M23)</f>
        <v>0</v>
      </c>
      <c r="N23" s="21">
        <f>SUM('G-高新:G-浙江天硕'!N23)</f>
        <v>0</v>
      </c>
      <c r="O23" s="21">
        <f>SUM('G-高新:G-浙江天硕'!O23)</f>
        <v>0</v>
      </c>
      <c r="P23" s="47">
        <f t="shared" si="0"/>
        <v>11089.997314</v>
      </c>
    </row>
    <row r="24" s="5" customFormat="1" ht="17.25" customHeight="1" spans="1:16">
      <c r="A24" s="199"/>
      <c r="B24" s="24"/>
      <c r="C24" s="25" t="s">
        <v>90</v>
      </c>
      <c r="D24" s="21">
        <f>SUM('G-高新:G-浙江天硕'!D24)</f>
        <v>10188.89</v>
      </c>
      <c r="E24" s="21">
        <f>SUM('G-高新:G-浙江天硕'!E24)</f>
        <v>13891.67</v>
      </c>
      <c r="F24" s="21">
        <f>SUM('G-高新:G-浙江天硕'!F24)</f>
        <v>-9818.53</v>
      </c>
      <c r="G24" s="21">
        <f>SUM('G-高新:G-浙江天硕'!G24)</f>
        <v>2150.43</v>
      </c>
      <c r="H24" s="21">
        <f>SUM('G-高新:G-浙江天硕'!H24)</f>
        <v>0.226685</v>
      </c>
      <c r="I24" s="21">
        <f>SUM('G-高新:G-浙江天硕'!I24)</f>
        <v>0</v>
      </c>
      <c r="J24" s="21">
        <f>SUM('G-高新:G-浙江天硕'!J24)</f>
        <v>0</v>
      </c>
      <c r="K24" s="21">
        <f>SUM('G-高新:G-浙江天硕'!K24)</f>
        <v>0</v>
      </c>
      <c r="L24" s="21">
        <f>SUM('G-高新:G-浙江天硕'!L24)</f>
        <v>0</v>
      </c>
      <c r="M24" s="21">
        <f>SUM('G-高新:G-浙江天硕'!M24)</f>
        <v>0</v>
      </c>
      <c r="N24" s="21">
        <f>SUM('G-高新:G-浙江天硕'!N24)</f>
        <v>0</v>
      </c>
      <c r="O24" s="21">
        <f>SUM('G-高新:G-浙江天硕'!O24)</f>
        <v>0</v>
      </c>
      <c r="P24" s="47">
        <f t="shared" si="0"/>
        <v>16412.686685</v>
      </c>
    </row>
    <row r="25" s="5" customFormat="1" ht="17.25" customHeight="1" spans="1:16">
      <c r="A25" s="199"/>
      <c r="B25" s="24"/>
      <c r="C25" s="25" t="s">
        <v>91</v>
      </c>
      <c r="D25" s="21">
        <f>SUM('G-高新:G-浙江天硕'!D25)</f>
        <v>184553.28</v>
      </c>
      <c r="E25" s="21">
        <f>SUM('G-高新:G-浙江天硕'!E25)</f>
        <v>240955.96</v>
      </c>
      <c r="F25" s="21">
        <f>SUM('G-高新:G-浙江天硕'!F25)</f>
        <v>138890.6</v>
      </c>
      <c r="G25" s="21">
        <f>SUM('G-高新:G-浙江天硕'!G25)</f>
        <v>88576</v>
      </c>
      <c r="H25" s="21">
        <f>SUM('G-高新:G-浙江天硕'!H25)</f>
        <v>-4.40108</v>
      </c>
      <c r="I25" s="21">
        <f>SUM('G-高新:G-浙江天硕'!I25)</f>
        <v>0</v>
      </c>
      <c r="J25" s="21">
        <f>SUM('G-高新:G-浙江天硕'!J25)</f>
        <v>0</v>
      </c>
      <c r="K25" s="21">
        <f>SUM('G-高新:G-浙江天硕'!K25)</f>
        <v>0</v>
      </c>
      <c r="L25" s="21">
        <f>SUM('G-高新:G-浙江天硕'!L25)</f>
        <v>0</v>
      </c>
      <c r="M25" s="21">
        <f>SUM('G-高新:G-浙江天硕'!M25)</f>
        <v>0</v>
      </c>
      <c r="N25" s="21">
        <f>SUM('G-高新:G-浙江天硕'!N25)</f>
        <v>0</v>
      </c>
      <c r="O25" s="21">
        <f>SUM('G-高新:G-浙江天硕'!O25)</f>
        <v>0</v>
      </c>
      <c r="P25" s="47">
        <f t="shared" si="0"/>
        <v>652971.43892</v>
      </c>
    </row>
    <row r="26" s="5" customFormat="1" ht="17.25" customHeight="1" spans="1:16">
      <c r="A26" s="199"/>
      <c r="B26" s="23"/>
      <c r="C26" s="25" t="s">
        <v>92</v>
      </c>
      <c r="D26" s="21">
        <f>SUM('G-高新:G-浙江天硕'!D26)</f>
        <v>21432.76</v>
      </c>
      <c r="E26" s="21">
        <f>SUM('G-高新:G-浙江天硕'!E26)</f>
        <v>28695.97</v>
      </c>
      <c r="F26" s="21">
        <f>SUM('G-高新:G-浙江天硕'!F26)</f>
        <v>25569.44</v>
      </c>
      <c r="G26" s="21">
        <f>SUM('G-高新:G-浙江天硕'!G26)</f>
        <v>12191.69</v>
      </c>
      <c r="H26" s="21">
        <f>SUM('G-高新:G-浙江天硕'!H26)</f>
        <v>-0.595781</v>
      </c>
      <c r="I26" s="21">
        <f>SUM('G-高新:G-浙江天硕'!I26)</f>
        <v>0</v>
      </c>
      <c r="J26" s="21">
        <f>SUM('G-高新:G-浙江天硕'!J26)</f>
        <v>0</v>
      </c>
      <c r="K26" s="21">
        <f>SUM('G-高新:G-浙江天硕'!K26)</f>
        <v>0</v>
      </c>
      <c r="L26" s="21">
        <f>SUM('G-高新:G-浙江天硕'!L26)</f>
        <v>0</v>
      </c>
      <c r="M26" s="21">
        <f>SUM('G-高新:G-浙江天硕'!M26)</f>
        <v>0</v>
      </c>
      <c r="N26" s="21">
        <f>SUM('G-高新:G-浙江天硕'!N26)</f>
        <v>0</v>
      </c>
      <c r="O26" s="21">
        <f>SUM('G-高新:G-浙江天硕'!O26)</f>
        <v>0</v>
      </c>
      <c r="P26" s="47">
        <f t="shared" si="0"/>
        <v>87889.264219</v>
      </c>
    </row>
    <row r="27" s="5" customFormat="1" ht="17.25" customHeight="1" spans="1:16">
      <c r="A27" s="200"/>
      <c r="B27" s="19" t="s">
        <v>93</v>
      </c>
      <c r="C27" s="20" t="s">
        <v>93</v>
      </c>
      <c r="D27" s="21">
        <f>SUM('G-高新:G-浙江天硕'!D27)</f>
        <v>106515.94</v>
      </c>
      <c r="E27" s="21">
        <f>SUM('G-高新:G-浙江天硕'!E27)</f>
        <v>0</v>
      </c>
      <c r="F27" s="21">
        <f>SUM('G-高新:G-浙江天硕'!F27)</f>
        <v>24140</v>
      </c>
      <c r="G27" s="21">
        <f>SUM('G-高新:G-浙江天硕'!G27)</f>
        <v>37072.85</v>
      </c>
      <c r="H27" s="21">
        <f>SUM('G-高新:G-浙江天硕'!H27)</f>
        <v>2.246908</v>
      </c>
      <c r="I27" s="21">
        <f>SUM('G-高新:G-浙江天硕'!I27)</f>
        <v>0</v>
      </c>
      <c r="J27" s="21">
        <f>SUM('G-高新:G-浙江天硕'!J27)</f>
        <v>0</v>
      </c>
      <c r="K27" s="21">
        <f>SUM('G-高新:G-浙江天硕'!K27)</f>
        <v>0</v>
      </c>
      <c r="L27" s="21">
        <f>SUM('G-高新:G-浙江天硕'!L27)</f>
        <v>0</v>
      </c>
      <c r="M27" s="21">
        <f>SUM('G-高新:G-浙江天硕'!M27)</f>
        <v>0</v>
      </c>
      <c r="N27" s="21">
        <f>SUM('G-高新:G-浙江天硕'!N27)</f>
        <v>0</v>
      </c>
      <c r="O27" s="21">
        <f>SUM('G-高新:G-浙江天硕'!O27)</f>
        <v>0</v>
      </c>
      <c r="P27" s="47">
        <f t="shared" si="0"/>
        <v>167731.036908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>
        <f>SUM('G-高新:G-浙江天硕'!D28)</f>
        <v>2014.44</v>
      </c>
      <c r="E28" s="21">
        <f>SUM('G-高新:G-浙江天硕'!E28)</f>
        <v>0</v>
      </c>
      <c r="F28" s="21">
        <f>SUM('G-高新:G-浙江天硕'!F28)</f>
        <v>2587.17</v>
      </c>
      <c r="G28" s="21">
        <f>SUM('G-高新:G-浙江天硕'!G28)</f>
        <v>1729.8</v>
      </c>
      <c r="H28" s="21">
        <f>SUM('G-高新:G-浙江天硕'!H28)</f>
        <v>-0.034832</v>
      </c>
      <c r="I28" s="21">
        <f>SUM('G-高新:G-浙江天硕'!I28)</f>
        <v>0</v>
      </c>
      <c r="J28" s="21">
        <f>SUM('G-高新:G-浙江天硕'!J28)</f>
        <v>0</v>
      </c>
      <c r="K28" s="21">
        <f>SUM('G-高新:G-浙江天硕'!K28)</f>
        <v>0</v>
      </c>
      <c r="L28" s="21">
        <f>SUM('G-高新:G-浙江天硕'!L28)</f>
        <v>0</v>
      </c>
      <c r="M28" s="21">
        <f>SUM('G-高新:G-浙江天硕'!M28)</f>
        <v>0</v>
      </c>
      <c r="N28" s="21">
        <f>SUM('G-高新:G-浙江天硕'!N28)</f>
        <v>0</v>
      </c>
      <c r="O28" s="21">
        <f>SUM('G-高新:G-浙江天硕'!O28)</f>
        <v>0</v>
      </c>
      <c r="P28" s="47">
        <f t="shared" si="0"/>
        <v>6331.375168</v>
      </c>
    </row>
    <row r="29" s="5" customFormat="1" ht="17.25" customHeight="1" spans="1:16">
      <c r="A29" s="202"/>
      <c r="B29" s="23"/>
      <c r="C29" s="20" t="s">
        <v>97</v>
      </c>
      <c r="D29" s="21">
        <f>SUM('G-高新:G-浙江天硕'!D29)</f>
        <v>6669.65</v>
      </c>
      <c r="E29" s="21">
        <f>SUM('G-高新:G-浙江天硕'!E29)</f>
        <v>2281.7</v>
      </c>
      <c r="F29" s="21">
        <f>SUM('G-高新:G-浙江天硕'!F29)</f>
        <v>30232.75</v>
      </c>
      <c r="G29" s="21">
        <f>SUM('G-高新:G-浙江天硕'!G29)</f>
        <v>33327.7</v>
      </c>
      <c r="H29" s="21">
        <f>SUM('G-高新:G-浙江天硕'!H29)</f>
        <v>1.762119</v>
      </c>
      <c r="I29" s="21">
        <f>SUM('G-高新:G-浙江天硕'!I29)</f>
        <v>0</v>
      </c>
      <c r="J29" s="21">
        <f>SUM('G-高新:G-浙江天硕'!J29)</f>
        <v>0</v>
      </c>
      <c r="K29" s="21">
        <f>SUM('G-高新:G-浙江天硕'!K29)</f>
        <v>0</v>
      </c>
      <c r="L29" s="21">
        <f>SUM('G-高新:G-浙江天硕'!L29)</f>
        <v>0</v>
      </c>
      <c r="M29" s="21">
        <f>SUM('G-高新:G-浙江天硕'!M29)</f>
        <v>0</v>
      </c>
      <c r="N29" s="21">
        <f>SUM('G-高新:G-浙江天硕'!N29)</f>
        <v>0</v>
      </c>
      <c r="O29" s="21">
        <f>SUM('G-高新:G-浙江天硕'!O29)</f>
        <v>0</v>
      </c>
      <c r="P29" s="47">
        <f t="shared" si="0"/>
        <v>72513.562119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f>SUM('G-高新:G-浙江天硕'!D30)</f>
        <v>3288.64</v>
      </c>
      <c r="E30" s="21">
        <f>SUM('G-高新:G-浙江天硕'!E30)</f>
        <v>10692.75</v>
      </c>
      <c r="F30" s="21">
        <f>SUM('G-高新:G-浙江天硕'!F30)</f>
        <v>6119</v>
      </c>
      <c r="G30" s="21">
        <f>SUM('G-高新:G-浙江天硕'!G30)</f>
        <v>28058</v>
      </c>
      <c r="H30" s="21">
        <f>SUM('G-高新:G-浙江天硕'!H30)</f>
        <v>0.1814</v>
      </c>
      <c r="I30" s="21">
        <f>SUM('G-高新:G-浙江天硕'!I30)</f>
        <v>0</v>
      </c>
      <c r="J30" s="21">
        <f>SUM('G-高新:G-浙江天硕'!J30)</f>
        <v>0</v>
      </c>
      <c r="K30" s="21">
        <f>SUM('G-高新:G-浙江天硕'!K30)</f>
        <v>0</v>
      </c>
      <c r="L30" s="21">
        <f>SUM('G-高新:G-浙江天硕'!L30)</f>
        <v>0</v>
      </c>
      <c r="M30" s="21">
        <f>SUM('G-高新:G-浙江天硕'!M30)</f>
        <v>0</v>
      </c>
      <c r="N30" s="21">
        <f>SUM('G-高新:G-浙江天硕'!N30)</f>
        <v>0</v>
      </c>
      <c r="O30" s="21">
        <f>SUM('G-高新:G-浙江天硕'!O30)</f>
        <v>0</v>
      </c>
      <c r="P30" s="47">
        <f t="shared" si="0"/>
        <v>48158.5714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f>SUM('G-高新:G-浙江天硕'!D31)</f>
        <v>2148.52</v>
      </c>
      <c r="E31" s="21">
        <f>SUM('G-高新:G-浙江天硕'!E31)</f>
        <v>8130.91</v>
      </c>
      <c r="F31" s="21">
        <f>SUM('G-高新:G-浙江天硕'!F31)</f>
        <v>17184.5</v>
      </c>
      <c r="G31" s="21">
        <f>SUM('G-高新:G-浙江天硕'!G31)</f>
        <v>33631.33</v>
      </c>
      <c r="H31" s="21">
        <f>SUM('G-高新:G-浙江天硕'!H31)</f>
        <v>1.68</v>
      </c>
      <c r="I31" s="21">
        <f>SUM('G-高新:G-浙江天硕'!I31)</f>
        <v>0</v>
      </c>
      <c r="J31" s="21">
        <f>SUM('G-高新:G-浙江天硕'!J31)</f>
        <v>0</v>
      </c>
      <c r="K31" s="21">
        <f>SUM('G-高新:G-浙江天硕'!K31)</f>
        <v>0</v>
      </c>
      <c r="L31" s="21">
        <f>SUM('G-高新:G-浙江天硕'!L31)</f>
        <v>0</v>
      </c>
      <c r="M31" s="21">
        <f>SUM('G-高新:G-浙江天硕'!M31)</f>
        <v>0</v>
      </c>
      <c r="N31" s="21">
        <f>SUM('G-高新:G-浙江天硕'!N31)</f>
        <v>0</v>
      </c>
      <c r="O31" s="21">
        <f>SUM('G-高新:G-浙江天硕'!O31)</f>
        <v>0</v>
      </c>
      <c r="P31" s="47">
        <f t="shared" si="0"/>
        <v>61096.94</v>
      </c>
    </row>
    <row r="32" s="5" customFormat="1" ht="17.25" customHeight="1" spans="1:16">
      <c r="A32" s="202"/>
      <c r="B32" s="24"/>
      <c r="C32" s="25" t="s">
        <v>101</v>
      </c>
      <c r="D32" s="21">
        <f>SUM('G-高新:G-浙江天硕'!D32)</f>
        <v>10285.4</v>
      </c>
      <c r="E32" s="21">
        <f>SUM('G-高新:G-浙江天硕'!E32)</f>
        <v>12452.79</v>
      </c>
      <c r="F32" s="21">
        <f>SUM('G-高新:G-浙江天硕'!F32)</f>
        <v>13616.22</v>
      </c>
      <c r="G32" s="21">
        <f>SUM('G-高新:G-浙江天硕'!G32)</f>
        <v>13821.06</v>
      </c>
      <c r="H32" s="21">
        <f>SUM('G-高新:G-浙江天硕'!H32)</f>
        <v>0</v>
      </c>
      <c r="I32" s="21">
        <f>SUM('G-高新:G-浙江天硕'!I32)</f>
        <v>0</v>
      </c>
      <c r="J32" s="21">
        <f>SUM('G-高新:G-浙江天硕'!J32)</f>
        <v>0</v>
      </c>
      <c r="K32" s="21">
        <f>SUM('G-高新:G-浙江天硕'!K32)</f>
        <v>0</v>
      </c>
      <c r="L32" s="21">
        <f>SUM('G-高新:G-浙江天硕'!L32)</f>
        <v>0</v>
      </c>
      <c r="M32" s="21">
        <f>SUM('G-高新:G-浙江天硕'!M32)</f>
        <v>0</v>
      </c>
      <c r="N32" s="21">
        <f>SUM('G-高新:G-浙江天硕'!N32)</f>
        <v>0</v>
      </c>
      <c r="O32" s="21">
        <f>SUM('G-高新:G-浙江天硕'!O32)</f>
        <v>0</v>
      </c>
      <c r="P32" s="47">
        <f t="shared" si="0"/>
        <v>50175.47</v>
      </c>
    </row>
    <row r="33" s="5" customFormat="1" ht="17.25" customHeight="1" spans="1:16">
      <c r="A33" s="202"/>
      <c r="B33" s="23"/>
      <c r="C33" s="20" t="s">
        <v>102</v>
      </c>
      <c r="D33" s="21">
        <f>SUM('G-高新:G-浙江天硕'!D33)</f>
        <v>23318.55</v>
      </c>
      <c r="E33" s="21">
        <f>SUM('G-高新:G-浙江天硕'!E33)</f>
        <v>-1050</v>
      </c>
      <c r="F33" s="21">
        <f>SUM('G-高新:G-浙江天硕'!F33)</f>
        <v>2547.43</v>
      </c>
      <c r="G33" s="21">
        <f>SUM('G-高新:G-浙江天硕'!G33)</f>
        <v>8920.6</v>
      </c>
      <c r="H33" s="21">
        <f>SUM('G-高新:G-浙江天硕'!H33)</f>
        <v>0.7</v>
      </c>
      <c r="I33" s="21">
        <f>SUM('G-高新:G-浙江天硕'!I33)</f>
        <v>0</v>
      </c>
      <c r="J33" s="21">
        <f>SUM('G-高新:G-浙江天硕'!J33)</f>
        <v>0</v>
      </c>
      <c r="K33" s="21">
        <f>SUM('G-高新:G-浙江天硕'!K33)</f>
        <v>0</v>
      </c>
      <c r="L33" s="21">
        <f>SUM('G-高新:G-浙江天硕'!L33)</f>
        <v>0</v>
      </c>
      <c r="M33" s="21">
        <f>SUM('G-高新:G-浙江天硕'!M33)</f>
        <v>0</v>
      </c>
      <c r="N33" s="21">
        <f>SUM('G-高新:G-浙江天硕'!N33)</f>
        <v>0</v>
      </c>
      <c r="O33" s="21">
        <f>SUM('G-高新:G-浙江天硕'!O33)</f>
        <v>0</v>
      </c>
      <c r="P33" s="47">
        <f t="shared" si="0"/>
        <v>33737.28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f>SUM('G-高新:G-浙江天硕'!D34)</f>
        <v>119104.98</v>
      </c>
      <c r="E34" s="21">
        <f>SUM('G-高新:G-浙江天硕'!E34)</f>
        <v>18745.28</v>
      </c>
      <c r="F34" s="21">
        <f>SUM('G-高新:G-浙江天硕'!F34)</f>
        <v>125598.2</v>
      </c>
      <c r="G34" s="21">
        <f>SUM('G-高新:G-浙江天硕'!G34)</f>
        <v>117563.77</v>
      </c>
      <c r="H34" s="21">
        <f>SUM('G-高新:G-浙江天硕'!H34)</f>
        <v>-0.765961</v>
      </c>
      <c r="I34" s="21">
        <f>SUM('G-高新:G-浙江天硕'!I34)</f>
        <v>0</v>
      </c>
      <c r="J34" s="21">
        <f>SUM('G-高新:G-浙江天硕'!J34)</f>
        <v>0</v>
      </c>
      <c r="K34" s="21">
        <f>SUM('G-高新:G-浙江天硕'!K34)</f>
        <v>0</v>
      </c>
      <c r="L34" s="21">
        <f>SUM('G-高新:G-浙江天硕'!L34)</f>
        <v>0</v>
      </c>
      <c r="M34" s="21">
        <f>SUM('G-高新:G-浙江天硕'!M34)</f>
        <v>0</v>
      </c>
      <c r="N34" s="21">
        <f>SUM('G-高新:G-浙江天硕'!N34)</f>
        <v>0</v>
      </c>
      <c r="O34" s="21">
        <f>SUM('G-高新:G-浙江天硕'!O34)</f>
        <v>0</v>
      </c>
      <c r="P34" s="47">
        <f t="shared" si="0"/>
        <v>381011.464039</v>
      </c>
    </row>
    <row r="35" s="5" customFormat="1" ht="17.25" customHeight="1" spans="1:16">
      <c r="A35" s="202"/>
      <c r="B35" s="23"/>
      <c r="C35" s="25" t="s">
        <v>105</v>
      </c>
      <c r="D35" s="21">
        <f>SUM('G-高新:G-浙江天硕'!D35)</f>
        <v>0</v>
      </c>
      <c r="E35" s="21">
        <f>SUM('G-高新:G-浙江天硕'!E35)</f>
        <v>0</v>
      </c>
      <c r="F35" s="21">
        <f>SUM('G-高新:G-浙江天硕'!F35)</f>
        <v>0</v>
      </c>
      <c r="G35" s="21">
        <f>SUM('G-高新:G-浙江天硕'!G35)</f>
        <v>0</v>
      </c>
      <c r="H35" s="21">
        <f>SUM('G-高新:G-浙江天硕'!H35)</f>
        <v>0</v>
      </c>
      <c r="I35" s="21">
        <f>SUM('G-高新:G-浙江天硕'!I35)</f>
        <v>0</v>
      </c>
      <c r="J35" s="21">
        <f>SUM('G-高新:G-浙江天硕'!J35)</f>
        <v>0</v>
      </c>
      <c r="K35" s="21">
        <f>SUM('G-高新:G-浙江天硕'!K35)</f>
        <v>0</v>
      </c>
      <c r="L35" s="21">
        <f>SUM('G-高新:G-浙江天硕'!L35)</f>
        <v>0</v>
      </c>
      <c r="M35" s="21">
        <f>SUM('G-高新:G-浙江天硕'!M35)</f>
        <v>0</v>
      </c>
      <c r="N35" s="21">
        <f>SUM('G-高新:G-浙江天硕'!N35)</f>
        <v>0</v>
      </c>
      <c r="O35" s="21">
        <f>SUM('G-高新:G-浙江天硕'!O35)</f>
        <v>0</v>
      </c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f>SUM('G-高新:G-浙江天硕'!D36)</f>
        <v>33679.2</v>
      </c>
      <c r="E36" s="21">
        <f>SUM('G-高新:G-浙江天硕'!E36)</f>
        <v>22984.78</v>
      </c>
      <c r="F36" s="21">
        <f>SUM('G-高新:G-浙江天硕'!F36)</f>
        <v>92524.53</v>
      </c>
      <c r="G36" s="21">
        <f>SUM('G-高新:G-浙江天硕'!G36)</f>
        <v>191764.3</v>
      </c>
      <c r="H36" s="21">
        <f>SUM('G-高新:G-浙江天硕'!H36)</f>
        <v>6.53408</v>
      </c>
      <c r="I36" s="21">
        <f>SUM('G-高新:G-浙江天硕'!I36)</f>
        <v>0</v>
      </c>
      <c r="J36" s="21">
        <f>SUM('G-高新:G-浙江天硕'!J36)</f>
        <v>0</v>
      </c>
      <c r="K36" s="21">
        <f>SUM('G-高新:G-浙江天硕'!K36)</f>
        <v>0</v>
      </c>
      <c r="L36" s="21">
        <f>SUM('G-高新:G-浙江天硕'!L36)</f>
        <v>0</v>
      </c>
      <c r="M36" s="21">
        <f>SUM('G-高新:G-浙江天硕'!M36)</f>
        <v>0</v>
      </c>
      <c r="N36" s="21">
        <f>SUM('G-高新:G-浙江天硕'!N36)</f>
        <v>0</v>
      </c>
      <c r="O36" s="21">
        <f>SUM('G-高新:G-浙江天硕'!O36)</f>
        <v>0</v>
      </c>
      <c r="P36" s="47">
        <f t="shared" si="0"/>
        <v>340959.34408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f>SUM('G-高新:G-浙江天硕'!D37)</f>
        <v>237805.25</v>
      </c>
      <c r="E37" s="21">
        <f>SUM('G-高新:G-浙江天硕'!E37)</f>
        <v>136225.55</v>
      </c>
      <c r="F37" s="21">
        <f>SUM('G-高新:G-浙江天硕'!F37)</f>
        <v>769866.22</v>
      </c>
      <c r="G37" s="21">
        <f>SUM('G-高新:G-浙江天硕'!G37)</f>
        <v>161588.42</v>
      </c>
      <c r="H37" s="21">
        <f>SUM('G-高新:G-浙江天硕'!H37)</f>
        <v>-4.052449</v>
      </c>
      <c r="I37" s="21">
        <f>SUM('G-高新:G-浙江天硕'!I37)</f>
        <v>0</v>
      </c>
      <c r="J37" s="21">
        <f>SUM('G-高新:G-浙江天硕'!J37)</f>
        <v>0</v>
      </c>
      <c r="K37" s="21">
        <f>SUM('G-高新:G-浙江天硕'!K37)</f>
        <v>0</v>
      </c>
      <c r="L37" s="21">
        <f>SUM('G-高新:G-浙江天硕'!L37)</f>
        <v>0</v>
      </c>
      <c r="M37" s="21">
        <f>SUM('G-高新:G-浙江天硕'!M37)</f>
        <v>0</v>
      </c>
      <c r="N37" s="21">
        <f>SUM('G-高新:G-浙江天硕'!N37)</f>
        <v>0</v>
      </c>
      <c r="O37" s="21">
        <f>SUM('G-高新:G-浙江天硕'!O37)</f>
        <v>0</v>
      </c>
      <c r="P37" s="47">
        <f t="shared" si="0"/>
        <v>1305481.387551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>
        <f>SUM('G-高新:G-浙江天硕'!D38)</f>
        <v>0</v>
      </c>
      <c r="E38" s="21">
        <f>SUM('G-高新:G-浙江天硕'!E38)</f>
        <v>0</v>
      </c>
      <c r="F38" s="21">
        <f>SUM('G-高新:G-浙江天硕'!F38)</f>
        <v>0</v>
      </c>
      <c r="G38" s="21">
        <f>SUM('G-高新:G-浙江天硕'!G38)</f>
        <v>4000</v>
      </c>
      <c r="H38" s="21">
        <f>SUM('G-高新:G-浙江天硕'!H38)</f>
        <v>0</v>
      </c>
      <c r="I38" s="21">
        <f>SUM('G-高新:G-浙江天硕'!I38)</f>
        <v>0</v>
      </c>
      <c r="J38" s="21">
        <f>SUM('G-高新:G-浙江天硕'!J38)</f>
        <v>0</v>
      </c>
      <c r="K38" s="21">
        <f>SUM('G-高新:G-浙江天硕'!K38)</f>
        <v>0</v>
      </c>
      <c r="L38" s="21">
        <f>SUM('G-高新:G-浙江天硕'!L38)</f>
        <v>0</v>
      </c>
      <c r="M38" s="21">
        <f>SUM('G-高新:G-浙江天硕'!M38)</f>
        <v>0</v>
      </c>
      <c r="N38" s="21">
        <f>SUM('G-高新:G-浙江天硕'!N38)</f>
        <v>0</v>
      </c>
      <c r="O38" s="21">
        <f>SUM('G-高新:G-浙江天硕'!O38)</f>
        <v>0</v>
      </c>
      <c r="P38" s="47">
        <f t="shared" si="0"/>
        <v>4000</v>
      </c>
    </row>
    <row r="39" s="5" customFormat="1" ht="17.25" customHeight="1" spans="1:16">
      <c r="A39" s="202"/>
      <c r="B39" s="23"/>
      <c r="C39" s="25" t="s">
        <v>110</v>
      </c>
      <c r="D39" s="21">
        <f>SUM('G-高新:G-浙江天硕'!D39)</f>
        <v>10292.67</v>
      </c>
      <c r="E39" s="21">
        <f>SUM('G-高新:G-浙江天硕'!E39)</f>
        <v>187294.65</v>
      </c>
      <c r="F39" s="21">
        <f>SUM('G-高新:G-浙江天硕'!F39)</f>
        <v>3482.81</v>
      </c>
      <c r="G39" s="21">
        <f>SUM('G-高新:G-浙江天硕'!G39)</f>
        <v>-48359.33</v>
      </c>
      <c r="H39" s="21">
        <f>SUM('G-高新:G-浙江天硕'!H39)</f>
        <v>-0.996456</v>
      </c>
      <c r="I39" s="21">
        <f>SUM('G-高新:G-浙江天硕'!I39)</f>
        <v>0</v>
      </c>
      <c r="J39" s="21">
        <f>SUM('G-高新:G-浙江天硕'!J39)</f>
        <v>0</v>
      </c>
      <c r="K39" s="21">
        <f>SUM('G-高新:G-浙江天硕'!K39)</f>
        <v>0</v>
      </c>
      <c r="L39" s="21">
        <f>SUM('G-高新:G-浙江天硕'!L39)</f>
        <v>0</v>
      </c>
      <c r="M39" s="21">
        <f>SUM('G-高新:G-浙江天硕'!M39)</f>
        <v>0</v>
      </c>
      <c r="N39" s="21">
        <f>SUM('G-高新:G-浙江天硕'!N39)</f>
        <v>0</v>
      </c>
      <c r="O39" s="21">
        <f>SUM('G-高新:G-浙江天硕'!O39)</f>
        <v>0</v>
      </c>
      <c r="P39" s="47">
        <f t="shared" si="0"/>
        <v>152709.803544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>
        <f>SUM('G-高新:G-浙江天硕'!D40)</f>
        <v>23347.81</v>
      </c>
      <c r="E40" s="21">
        <f>SUM('G-高新:G-浙江天硕'!E40)</f>
        <v>-16000</v>
      </c>
      <c r="F40" s="21">
        <f>SUM('G-高新:G-浙江天硕'!F40)</f>
        <v>43730.1</v>
      </c>
      <c r="G40" s="21">
        <f>SUM('G-高新:G-浙江天硕'!G40)</f>
        <v>23777.2</v>
      </c>
      <c r="H40" s="21">
        <f>SUM('G-高新:G-浙江天硕'!H40)</f>
        <v>0.5585</v>
      </c>
      <c r="I40" s="21">
        <f>SUM('G-高新:G-浙江天硕'!I40)</f>
        <v>0</v>
      </c>
      <c r="J40" s="21">
        <f>SUM('G-高新:G-浙江天硕'!J40)</f>
        <v>0</v>
      </c>
      <c r="K40" s="21">
        <f>SUM('G-高新:G-浙江天硕'!K40)</f>
        <v>0</v>
      </c>
      <c r="L40" s="21">
        <f>SUM('G-高新:G-浙江天硕'!L40)</f>
        <v>0</v>
      </c>
      <c r="M40" s="21">
        <f>SUM('G-高新:G-浙江天硕'!M40)</f>
        <v>0</v>
      </c>
      <c r="N40" s="21">
        <f>SUM('G-高新:G-浙江天硕'!N40)</f>
        <v>0</v>
      </c>
      <c r="O40" s="21">
        <f>SUM('G-高新:G-浙江天硕'!O40)</f>
        <v>0</v>
      </c>
      <c r="P40" s="47">
        <f t="shared" si="0"/>
        <v>74855.6685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f>SUM('G-高新:G-浙江天硕'!D41)</f>
        <v>3971.01</v>
      </c>
      <c r="E41" s="21">
        <f>SUM('G-高新:G-浙江天硕'!E41)</f>
        <v>178023.28</v>
      </c>
      <c r="F41" s="21">
        <f>SUM('G-高新:G-浙江天硕'!F41)</f>
        <v>1402646.92</v>
      </c>
      <c r="G41" s="21">
        <f>SUM('G-高新:G-浙江天硕'!G41)</f>
        <v>894633.3</v>
      </c>
      <c r="H41" s="21">
        <f>SUM('G-高新:G-浙江天硕'!H41)</f>
        <v>32.18578</v>
      </c>
      <c r="I41" s="21">
        <f>SUM('G-高新:G-浙江天硕'!I41)</f>
        <v>0</v>
      </c>
      <c r="J41" s="21">
        <f>SUM('G-高新:G-浙江天硕'!J41)</f>
        <v>0</v>
      </c>
      <c r="K41" s="21">
        <f>SUM('G-高新:G-浙江天硕'!K41)</f>
        <v>0</v>
      </c>
      <c r="L41" s="21">
        <f>SUM('G-高新:G-浙江天硕'!L41)</f>
        <v>0</v>
      </c>
      <c r="M41" s="21">
        <f>SUM('G-高新:G-浙江天硕'!M41)</f>
        <v>0</v>
      </c>
      <c r="N41" s="21">
        <f>SUM('G-高新:G-浙江天硕'!N41)</f>
        <v>0</v>
      </c>
      <c r="O41" s="21">
        <f>SUM('G-高新:G-浙江天硕'!O41)</f>
        <v>0</v>
      </c>
      <c r="P41" s="47">
        <f t="shared" si="0"/>
        <v>2479306.69578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>
        <f>SUM('G-高新:G-浙江天硕'!D42)</f>
        <v>40093.17</v>
      </c>
      <c r="E42" s="21">
        <f>SUM('G-高新:G-浙江天硕'!E42)</f>
        <v>67742.12</v>
      </c>
      <c r="F42" s="21">
        <f>SUM('G-高新:G-浙江天硕'!F42)</f>
        <v>542079.71</v>
      </c>
      <c r="G42" s="21">
        <f>SUM('G-高新:G-浙江天硕'!G42)</f>
        <v>60336.05</v>
      </c>
      <c r="H42" s="21">
        <f>SUM('G-高新:G-浙江天硕'!H42)</f>
        <v>-6.609</v>
      </c>
      <c r="I42" s="21">
        <f>SUM('G-高新:G-浙江天硕'!I42)</f>
        <v>0</v>
      </c>
      <c r="J42" s="21">
        <f>SUM('G-高新:G-浙江天硕'!J42)</f>
        <v>0</v>
      </c>
      <c r="K42" s="21">
        <f>SUM('G-高新:G-浙江天硕'!K42)</f>
        <v>0</v>
      </c>
      <c r="L42" s="21">
        <f>SUM('G-高新:G-浙江天硕'!L42)</f>
        <v>0</v>
      </c>
      <c r="M42" s="21">
        <f>SUM('G-高新:G-浙江天硕'!M42)</f>
        <v>0</v>
      </c>
      <c r="N42" s="21">
        <f>SUM('G-高新:G-浙江天硕'!N42)</f>
        <v>0</v>
      </c>
      <c r="O42" s="21">
        <f>SUM('G-高新:G-浙江天硕'!O42)</f>
        <v>0</v>
      </c>
      <c r="P42" s="47">
        <f t="shared" si="0"/>
        <v>710244.441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f>SUM('G-高新:G-浙江天硕'!D43)</f>
        <v>10875</v>
      </c>
      <c r="E43" s="21">
        <f>SUM('G-高新:G-浙江天硕'!E43)</f>
        <v>238802.67</v>
      </c>
      <c r="F43" s="21">
        <f>SUM('G-高新:G-浙江天硕'!F43)</f>
        <v>209909.54</v>
      </c>
      <c r="G43" s="21">
        <f>SUM('G-高新:G-浙江天硕'!G43)</f>
        <v>-88965.65</v>
      </c>
      <c r="H43" s="21">
        <f>SUM('G-高新:G-浙江天硕'!H43)</f>
        <v>-2.398633</v>
      </c>
      <c r="I43" s="21">
        <f>SUM('G-高新:G-浙江天硕'!I43)</f>
        <v>0</v>
      </c>
      <c r="J43" s="21">
        <f>SUM('G-高新:G-浙江天硕'!J43)</f>
        <v>0</v>
      </c>
      <c r="K43" s="21">
        <f>SUM('G-高新:G-浙江天硕'!K43)</f>
        <v>0</v>
      </c>
      <c r="L43" s="21">
        <f>SUM('G-高新:G-浙江天硕'!L43)</f>
        <v>0</v>
      </c>
      <c r="M43" s="21">
        <f>SUM('G-高新:G-浙江天硕'!M43)</f>
        <v>0</v>
      </c>
      <c r="N43" s="21">
        <f>SUM('G-高新:G-浙江天硕'!N43)</f>
        <v>0</v>
      </c>
      <c r="O43" s="21">
        <f>SUM('G-高新:G-浙江天硕'!O43)</f>
        <v>0</v>
      </c>
      <c r="P43" s="47">
        <f t="shared" si="0"/>
        <v>370619.161367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>
        <f>SUM('G-高新:G-浙江天硕'!D44)</f>
        <v>0</v>
      </c>
      <c r="E44" s="21">
        <f>SUM('G-高新:G-浙江天硕'!E44)</f>
        <v>27824.72</v>
      </c>
      <c r="F44" s="21">
        <f>SUM('G-高新:G-浙江天硕'!F44)</f>
        <v>-5.66</v>
      </c>
      <c r="G44" s="21">
        <f>SUM('G-高新:G-浙江天硕'!G44)</f>
        <v>1041310.98</v>
      </c>
      <c r="H44" s="21">
        <f>SUM('G-高新:G-浙江天硕'!H44)</f>
        <v>66.593543</v>
      </c>
      <c r="I44" s="21">
        <f>SUM('G-高新:G-浙江天硕'!I44)</f>
        <v>0</v>
      </c>
      <c r="J44" s="21">
        <f>SUM('G-高新:G-浙江天硕'!J44)</f>
        <v>0</v>
      </c>
      <c r="K44" s="21">
        <f>SUM('G-高新:G-浙江天硕'!K44)</f>
        <v>0</v>
      </c>
      <c r="L44" s="21">
        <f>SUM('G-高新:G-浙江天硕'!L44)</f>
        <v>0</v>
      </c>
      <c r="M44" s="21">
        <f>SUM('G-高新:G-浙江天硕'!M44)</f>
        <v>0</v>
      </c>
      <c r="N44" s="21">
        <f>SUM('G-高新:G-浙江天硕'!N44)</f>
        <v>0</v>
      </c>
      <c r="O44" s="21">
        <f>SUM('G-高新:G-浙江天硕'!O44)</f>
        <v>0</v>
      </c>
      <c r="P44" s="47">
        <f t="shared" si="0"/>
        <v>1069196.633543</v>
      </c>
    </row>
    <row r="45" s="5" customFormat="1" ht="17.25" customHeight="1" spans="1:16">
      <c r="A45" s="205"/>
      <c r="B45" s="23"/>
      <c r="C45" s="206" t="s">
        <v>118</v>
      </c>
      <c r="D45" s="21">
        <f>SUM('G-高新:G-浙江天硕'!D45)</f>
        <v>0</v>
      </c>
      <c r="E45" s="21">
        <f>SUM('G-高新:G-浙江天硕'!E45)</f>
        <v>0</v>
      </c>
      <c r="F45" s="21">
        <f>SUM('G-高新:G-浙江天硕'!F45)</f>
        <v>0</v>
      </c>
      <c r="G45" s="21">
        <f>SUM('G-高新:G-浙江天硕'!G45)</f>
        <v>0</v>
      </c>
      <c r="H45" s="21">
        <f>SUM('G-高新:G-浙江天硕'!H45)</f>
        <v>0</v>
      </c>
      <c r="I45" s="21">
        <f>SUM('G-高新:G-浙江天硕'!I45)</f>
        <v>0</v>
      </c>
      <c r="J45" s="21">
        <f>SUM('G-高新:G-浙江天硕'!J45)</f>
        <v>0</v>
      </c>
      <c r="K45" s="21">
        <f>SUM('G-高新:G-浙江天硕'!K45)</f>
        <v>0</v>
      </c>
      <c r="L45" s="21">
        <f>SUM('G-高新:G-浙江天硕'!L45)</f>
        <v>0</v>
      </c>
      <c r="M45" s="21">
        <f>SUM('G-高新:G-浙江天硕'!M45)</f>
        <v>0</v>
      </c>
      <c r="N45" s="21">
        <f>SUM('G-高新:G-浙江天硕'!N45)</f>
        <v>0</v>
      </c>
      <c r="O45" s="21">
        <f>SUM('G-高新:G-浙江天硕'!O45)</f>
        <v>0</v>
      </c>
      <c r="P45" s="47">
        <f t="shared" si="0"/>
        <v>0</v>
      </c>
    </row>
    <row r="46" s="279" customFormat="1" ht="17.25" customHeight="1" spans="1:16">
      <c r="A46" s="205"/>
      <c r="B46" s="324" t="s">
        <v>119</v>
      </c>
      <c r="C46" s="282" t="s">
        <v>119</v>
      </c>
      <c r="D46" s="170">
        <f>SUM('G-高新:G-浙江天硕'!D46)+D137</f>
        <v>1956382.9</v>
      </c>
      <c r="E46" s="170">
        <f>SUM('G-高新:G-浙江天硕'!E46)+E137</f>
        <v>4682402.73</v>
      </c>
      <c r="F46" s="170">
        <f>SUM('G-高新:G-浙江天硕'!F46)+F137</f>
        <v>3958866.39</v>
      </c>
      <c r="G46" s="170">
        <f>SUM('G-高新:G-浙江天硕'!G46)+G137</f>
        <v>5059564.06</v>
      </c>
      <c r="H46" s="170">
        <f>SUM('G-高新:G-浙江天硕'!H46)+H137</f>
        <v>41497.960661</v>
      </c>
      <c r="I46" s="170">
        <f>SUM('G-高新:G-浙江天硕'!I46)+I137</f>
        <v>41383.95</v>
      </c>
      <c r="J46" s="170">
        <f>SUM('G-高新:G-浙江天硕'!J46)+J137</f>
        <v>41383.95</v>
      </c>
      <c r="K46" s="170">
        <f>SUM('G-高新:G-浙江天硕'!K46)+K137</f>
        <v>41383.95</v>
      </c>
      <c r="L46" s="170">
        <f>SUM('G-高新:G-浙江天硕'!L46)+L137</f>
        <v>41383.95</v>
      </c>
      <c r="M46" s="170">
        <f>SUM('G-高新:G-浙江天硕'!M46)+M137</f>
        <v>41383.95</v>
      </c>
      <c r="N46" s="170">
        <f>SUM('G-高新:G-浙江天硕'!N46)+N137</f>
        <v>41383.95</v>
      </c>
      <c r="O46" s="170">
        <f>SUM('G-高新:G-浙江天硕'!O46)+O137</f>
        <v>41383.95</v>
      </c>
      <c r="P46" s="180">
        <f t="shared" si="0"/>
        <v>15988401.690661</v>
      </c>
    </row>
    <row r="47" s="279" customFormat="1" ht="17.25" customHeight="1" spans="1:16">
      <c r="A47" s="205"/>
      <c r="B47" s="324" t="s">
        <v>120</v>
      </c>
      <c r="C47" s="282" t="s">
        <v>120</v>
      </c>
      <c r="D47" s="170">
        <f>SUM('G-高新:G-浙江天硕'!D47)+D138</f>
        <v>1227259.22</v>
      </c>
      <c r="E47" s="170">
        <f>SUM('G-高新:G-浙江天硕'!E47)+E138</f>
        <v>1230903.78</v>
      </c>
      <c r="F47" s="170">
        <f>SUM('G-高新:G-浙江天硕'!F47)+F138</f>
        <v>1336514.86</v>
      </c>
      <c r="G47" s="170">
        <f>SUM('G-高新:G-浙江天硕'!G47)+G138</f>
        <v>1151856.61</v>
      </c>
      <c r="H47" s="170">
        <f>SUM('G-高新:G-浙江天硕'!H47)+H138</f>
        <v>479609.164171</v>
      </c>
      <c r="I47" s="170">
        <f>SUM('G-高新:G-浙江天硕'!I47)+I138</f>
        <v>479627.63</v>
      </c>
      <c r="J47" s="170">
        <f>SUM('G-高新:G-浙江天硕'!J47)+J138</f>
        <v>479627.63</v>
      </c>
      <c r="K47" s="170">
        <f>SUM('G-高新:G-浙江天硕'!K47)+K138</f>
        <v>479627.63</v>
      </c>
      <c r="L47" s="170">
        <f>SUM('G-高新:G-浙江天硕'!L47)+L138</f>
        <v>479627.63</v>
      </c>
      <c r="M47" s="170">
        <f>SUM('G-高新:G-浙江天硕'!M47)+M138</f>
        <v>479627.63</v>
      </c>
      <c r="N47" s="170">
        <f>SUM('G-高新:G-浙江天硕'!N47)+N138</f>
        <v>479627.63</v>
      </c>
      <c r="O47" s="170">
        <f>SUM('G-高新:G-浙江天硕'!O47)+O138</f>
        <v>479627.63</v>
      </c>
      <c r="P47" s="180">
        <f t="shared" si="0"/>
        <v>8783537.044171</v>
      </c>
    </row>
    <row r="48" s="279" customFormat="1" ht="17.25" customHeight="1" spans="1:16">
      <c r="A48" s="208"/>
      <c r="B48" s="281" t="s">
        <v>121</v>
      </c>
      <c r="C48" s="325" t="s">
        <v>121</v>
      </c>
      <c r="D48" s="170">
        <f>SUM('G-高新:G-浙江天硕'!D48)+D139</f>
        <v>262618.51</v>
      </c>
      <c r="E48" s="170">
        <f>SUM('G-高新:G-浙江天硕'!E48)+E139</f>
        <v>344344.12</v>
      </c>
      <c r="F48" s="170">
        <f>SUM('G-高新:G-浙江天硕'!F48)+F139</f>
        <v>540020.46</v>
      </c>
      <c r="G48" s="170">
        <f>SUM('G-高新:G-浙江天硕'!G48)+G139</f>
        <v>387239.31</v>
      </c>
      <c r="H48" s="170">
        <f>SUM('G-高新:G-浙江天硕'!H48)+H139</f>
        <v>-4001.032623</v>
      </c>
      <c r="I48" s="170">
        <f>SUM('G-高新:G-浙江天硕'!I48)+I139</f>
        <v>-4000</v>
      </c>
      <c r="J48" s="170">
        <f>SUM('G-高新:G-浙江天硕'!J48)+J139</f>
        <v>-4000</v>
      </c>
      <c r="K48" s="170">
        <f>SUM('G-高新:G-浙江天硕'!K48)+K139</f>
        <v>-4000</v>
      </c>
      <c r="L48" s="170">
        <f>SUM('G-高新:G-浙江天硕'!L48)+L139</f>
        <v>-4000</v>
      </c>
      <c r="M48" s="170">
        <f>SUM('G-高新:G-浙江天硕'!M48)+M139</f>
        <v>-4000</v>
      </c>
      <c r="N48" s="170">
        <f>SUM('G-高新:G-浙江天硕'!N48)+N139</f>
        <v>-4000</v>
      </c>
      <c r="O48" s="170">
        <f>SUM('G-高新:G-浙江天硕'!O48)+O139</f>
        <v>-4000</v>
      </c>
      <c r="P48" s="180">
        <f t="shared" si="0"/>
        <v>1502221.367377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>
        <f>SUM('G-高新:G-浙江天硕'!D49)</f>
        <v>0</v>
      </c>
      <c r="E49" s="21">
        <f>SUM('G-高新:G-浙江天硕'!E49)</f>
        <v>504921.02</v>
      </c>
      <c r="F49" s="21">
        <f>SUM('G-高新:G-浙江天硕'!F49)</f>
        <v>49866.6</v>
      </c>
      <c r="G49" s="21">
        <f>SUM('G-高新:G-浙江天硕'!G49)</f>
        <v>110956.25</v>
      </c>
      <c r="H49" s="21">
        <f>SUM('G-高新:G-浙江天硕'!H49)</f>
        <v>-0.16069</v>
      </c>
      <c r="I49" s="21">
        <f>SUM('G-高新:G-浙江天硕'!I49)</f>
        <v>0</v>
      </c>
      <c r="J49" s="21">
        <f>SUM('G-高新:G-浙江天硕'!J49)</f>
        <v>0</v>
      </c>
      <c r="K49" s="21">
        <f>SUM('G-高新:G-浙江天硕'!K49)</f>
        <v>0</v>
      </c>
      <c r="L49" s="21">
        <f>SUM('G-高新:G-浙江天硕'!L49)</f>
        <v>0</v>
      </c>
      <c r="M49" s="21">
        <f>SUM('G-高新:G-浙江天硕'!M49)</f>
        <v>0</v>
      </c>
      <c r="N49" s="21">
        <f>SUM('G-高新:G-浙江天硕'!N49)</f>
        <v>0</v>
      </c>
      <c r="O49" s="21">
        <f>SUM('G-高新:G-浙江天硕'!O49)</f>
        <v>0</v>
      </c>
      <c r="P49" s="47">
        <f t="shared" si="0"/>
        <v>665743.70931</v>
      </c>
    </row>
    <row r="50" s="5" customFormat="1" ht="17.25" customHeight="1" spans="1:16">
      <c r="A50" s="211"/>
      <c r="B50" s="38"/>
      <c r="C50" s="207" t="s">
        <v>125</v>
      </c>
      <c r="D50" s="21">
        <f>SUM('G-高新:G-浙江天硕'!D50)</f>
        <v>87516</v>
      </c>
      <c r="E50" s="21">
        <f>SUM('G-高新:G-浙江天硕'!E50)</f>
        <v>0</v>
      </c>
      <c r="F50" s="21">
        <f>SUM('G-高新:G-浙江天硕'!F50)</f>
        <v>0</v>
      </c>
      <c r="G50" s="21">
        <f>SUM('G-高新:G-浙江天硕'!G50)</f>
        <v>265.49</v>
      </c>
      <c r="H50" s="21">
        <f>SUM('G-高新:G-浙江天硕'!H50)</f>
        <v>0</v>
      </c>
      <c r="I50" s="21">
        <f>SUM('G-高新:G-浙江天硕'!I50)</f>
        <v>0</v>
      </c>
      <c r="J50" s="21">
        <f>SUM('G-高新:G-浙江天硕'!J50)</f>
        <v>0</v>
      </c>
      <c r="K50" s="21">
        <f>SUM('G-高新:G-浙江天硕'!K50)</f>
        <v>0</v>
      </c>
      <c r="L50" s="21">
        <f>SUM('G-高新:G-浙江天硕'!L50)</f>
        <v>0</v>
      </c>
      <c r="M50" s="21">
        <f>SUM('G-高新:G-浙江天硕'!M50)</f>
        <v>0</v>
      </c>
      <c r="N50" s="21">
        <f>SUM('G-高新:G-浙江天硕'!N50)</f>
        <v>0</v>
      </c>
      <c r="O50" s="21">
        <f>SUM('G-高新:G-浙江天硕'!O50)</f>
        <v>0</v>
      </c>
      <c r="P50" s="47">
        <f t="shared" si="0"/>
        <v>87781.49</v>
      </c>
    </row>
    <row r="51" s="5" customFormat="1" ht="17.25" customHeight="1" spans="1:16">
      <c r="A51" s="211"/>
      <c r="B51" s="39"/>
      <c r="C51" s="207" t="s">
        <v>83</v>
      </c>
      <c r="D51" s="21">
        <f>SUM('G-高新:G-浙江天硕'!D51)</f>
        <v>0</v>
      </c>
      <c r="E51" s="21">
        <f>SUM('G-高新:G-浙江天硕'!E51)</f>
        <v>0</v>
      </c>
      <c r="F51" s="21">
        <f>SUM('G-高新:G-浙江天硕'!F51)</f>
        <v>0</v>
      </c>
      <c r="G51" s="21">
        <f>SUM('G-高新:G-浙江天硕'!G51)</f>
        <v>0</v>
      </c>
      <c r="H51" s="21">
        <f>SUM('G-高新:G-浙江天硕'!H51)</f>
        <v>0</v>
      </c>
      <c r="I51" s="21">
        <f>SUM('G-高新:G-浙江天硕'!I51)</f>
        <v>0</v>
      </c>
      <c r="J51" s="21">
        <f>SUM('G-高新:G-浙江天硕'!J51)</f>
        <v>0</v>
      </c>
      <c r="K51" s="21">
        <f>SUM('G-高新:G-浙江天硕'!K51)</f>
        <v>0</v>
      </c>
      <c r="L51" s="21">
        <f>SUM('G-高新:G-浙江天硕'!L51)</f>
        <v>0</v>
      </c>
      <c r="M51" s="21">
        <f>SUM('G-高新:G-浙江天硕'!M51)</f>
        <v>0</v>
      </c>
      <c r="N51" s="21">
        <f>SUM('G-高新:G-浙江天硕'!N51)</f>
        <v>0</v>
      </c>
      <c r="O51" s="21">
        <f>SUM('G-高新:G-浙江天硕'!O51)</f>
        <v>0</v>
      </c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>
        <f>SUM('G-高新:G-浙江天硕'!D52)</f>
        <v>28396.0199999998</v>
      </c>
      <c r="E52" s="21">
        <f>SUM('G-高新:G-浙江天硕'!E52)</f>
        <v>79624.96</v>
      </c>
      <c r="F52" s="21">
        <f>SUM('G-高新:G-浙江天硕'!F52)</f>
        <v>17005.21</v>
      </c>
      <c r="G52" s="21">
        <f>SUM('G-高新:G-浙江天硕'!G52)</f>
        <v>68721.15</v>
      </c>
      <c r="H52" s="21">
        <f>SUM('G-高新:G-浙江天硕'!H52)</f>
        <v>0</v>
      </c>
      <c r="I52" s="21">
        <f>SUM('G-高新:G-浙江天硕'!I52)</f>
        <v>0</v>
      </c>
      <c r="J52" s="21">
        <f>SUM('G-高新:G-浙江天硕'!J52)</f>
        <v>0</v>
      </c>
      <c r="K52" s="21">
        <f>SUM('G-高新:G-浙江天硕'!K52)</f>
        <v>0</v>
      </c>
      <c r="L52" s="21">
        <f>SUM('G-高新:G-浙江天硕'!L52)</f>
        <v>0</v>
      </c>
      <c r="M52" s="21">
        <f>SUM('G-高新:G-浙江天硕'!M52)</f>
        <v>0</v>
      </c>
      <c r="N52" s="21">
        <f>SUM('G-高新:G-浙江天硕'!N52)</f>
        <v>0</v>
      </c>
      <c r="O52" s="21">
        <f>SUM('G-高新:G-浙江天硕'!O52)</f>
        <v>0</v>
      </c>
      <c r="P52" s="47">
        <f t="shared" si="0"/>
        <v>193747.34</v>
      </c>
    </row>
    <row r="53" s="5" customFormat="1" ht="17.25" customHeight="1" spans="1:16">
      <c r="A53" s="211"/>
      <c r="B53" s="24"/>
      <c r="C53" s="207" t="s">
        <v>128</v>
      </c>
      <c r="D53" s="21">
        <f>SUM('G-高新:G-浙江天硕'!D53)</f>
        <v>-6468.86</v>
      </c>
      <c r="E53" s="21">
        <f>SUM('G-高新:G-浙江天硕'!E53)</f>
        <v>58404.31</v>
      </c>
      <c r="F53" s="21">
        <f>SUM('G-高新:G-浙江天硕'!F53)</f>
        <v>279849.33</v>
      </c>
      <c r="G53" s="21">
        <f>SUM('G-高新:G-浙江天硕'!G53)</f>
        <v>223072.33</v>
      </c>
      <c r="H53" s="21">
        <f>SUM('G-高新:G-浙江天硕'!H53)</f>
        <v>-2.723058</v>
      </c>
      <c r="I53" s="21">
        <f>SUM('G-高新:G-浙江天硕'!I53)</f>
        <v>0</v>
      </c>
      <c r="J53" s="21">
        <f>SUM('G-高新:G-浙江天硕'!J53)</f>
        <v>0</v>
      </c>
      <c r="K53" s="21">
        <f>SUM('G-高新:G-浙江天硕'!K53)</f>
        <v>0</v>
      </c>
      <c r="L53" s="21">
        <f>SUM('G-高新:G-浙江天硕'!L53)</f>
        <v>0</v>
      </c>
      <c r="M53" s="21">
        <f>SUM('G-高新:G-浙江天硕'!M53)</f>
        <v>0</v>
      </c>
      <c r="N53" s="21">
        <f>SUM('G-高新:G-浙江天硕'!N53)</f>
        <v>0</v>
      </c>
      <c r="O53" s="21">
        <f>SUM('G-高新:G-浙江天硕'!O53)</f>
        <v>0</v>
      </c>
      <c r="P53" s="47">
        <f t="shared" si="0"/>
        <v>554854.386942</v>
      </c>
    </row>
    <row r="54" s="5" customFormat="1" ht="17.25" customHeight="1" spans="1:16">
      <c r="A54" s="211"/>
      <c r="B54" s="23"/>
      <c r="C54" s="207" t="s">
        <v>83</v>
      </c>
      <c r="D54" s="21">
        <f>SUM('G-高新:G-浙江天硕'!D54)</f>
        <v>0</v>
      </c>
      <c r="E54" s="21">
        <f>SUM('G-高新:G-浙江天硕'!E54)</f>
        <v>0</v>
      </c>
      <c r="F54" s="21">
        <f>SUM('G-高新:G-浙江天硕'!F54)</f>
        <v>0</v>
      </c>
      <c r="G54" s="21">
        <f>SUM('G-高新:G-浙江天硕'!G54)</f>
        <v>0</v>
      </c>
      <c r="H54" s="21">
        <f>SUM('G-高新:G-浙江天硕'!H54)</f>
        <v>0</v>
      </c>
      <c r="I54" s="21">
        <f>SUM('G-高新:G-浙江天硕'!I54)</f>
        <v>0</v>
      </c>
      <c r="J54" s="21">
        <f>SUM('G-高新:G-浙江天硕'!J54)</f>
        <v>0</v>
      </c>
      <c r="K54" s="21">
        <f>SUM('G-高新:G-浙江天硕'!K54)</f>
        <v>0</v>
      </c>
      <c r="L54" s="21">
        <f>SUM('G-高新:G-浙江天硕'!L54)</f>
        <v>0</v>
      </c>
      <c r="M54" s="21">
        <f>SUM('G-高新:G-浙江天硕'!M54)</f>
        <v>0</v>
      </c>
      <c r="N54" s="21">
        <f>SUM('G-高新:G-浙江天硕'!N54)</f>
        <v>0</v>
      </c>
      <c r="O54" s="21">
        <f>SUM('G-高新:G-浙江天硕'!O54)</f>
        <v>0</v>
      </c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>
        <f>SUM('G-高新:G-浙江天硕'!D55)</f>
        <v>0</v>
      </c>
      <c r="E55" s="21">
        <f>SUM('G-高新:G-浙江天硕'!E55)</f>
        <v>0</v>
      </c>
      <c r="F55" s="21">
        <f>SUM('G-高新:G-浙江天硕'!F55)</f>
        <v>0</v>
      </c>
      <c r="G55" s="21">
        <f>SUM('G-高新:G-浙江天硕'!G55)</f>
        <v>0</v>
      </c>
      <c r="H55" s="21">
        <f>SUM('G-高新:G-浙江天硕'!H55)</f>
        <v>0</v>
      </c>
      <c r="I55" s="21">
        <f>SUM('G-高新:G-浙江天硕'!I55)</f>
        <v>0</v>
      </c>
      <c r="J55" s="21">
        <f>SUM('G-高新:G-浙江天硕'!J55)</f>
        <v>0</v>
      </c>
      <c r="K55" s="21">
        <f>SUM('G-高新:G-浙江天硕'!K55)</f>
        <v>0</v>
      </c>
      <c r="L55" s="21">
        <f>SUM('G-高新:G-浙江天硕'!L55)</f>
        <v>0</v>
      </c>
      <c r="M55" s="21">
        <f>SUM('G-高新:G-浙江天硕'!M55)</f>
        <v>0</v>
      </c>
      <c r="N55" s="21">
        <f>SUM('G-高新:G-浙江天硕'!N55)</f>
        <v>0</v>
      </c>
      <c r="O55" s="21">
        <f>SUM('G-高新:G-浙江天硕'!O55)</f>
        <v>0</v>
      </c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>
        <f>SUM('G-高新:G-浙江天硕'!D56)</f>
        <v>1226.42</v>
      </c>
      <c r="E56" s="21">
        <f>SUM('G-高新:G-浙江天硕'!E56)</f>
        <v>0</v>
      </c>
      <c r="F56" s="21">
        <f>SUM('G-高新:G-浙江天硕'!F56)</f>
        <v>0</v>
      </c>
      <c r="G56" s="21">
        <f>SUM('G-高新:G-浙江天硕'!G56)</f>
        <v>6213.59</v>
      </c>
      <c r="H56" s="21">
        <f>SUM('G-高新:G-浙江天硕'!H56)</f>
        <v>0</v>
      </c>
      <c r="I56" s="21">
        <f>SUM('G-高新:G-浙江天硕'!I56)</f>
        <v>0</v>
      </c>
      <c r="J56" s="21">
        <f>SUM('G-高新:G-浙江天硕'!J56)</f>
        <v>0</v>
      </c>
      <c r="K56" s="21">
        <f>SUM('G-高新:G-浙江天硕'!K56)</f>
        <v>0</v>
      </c>
      <c r="L56" s="21">
        <f>SUM('G-高新:G-浙江天硕'!L56)</f>
        <v>0</v>
      </c>
      <c r="M56" s="21">
        <f>SUM('G-高新:G-浙江天硕'!M56)</f>
        <v>0</v>
      </c>
      <c r="N56" s="21">
        <f>SUM('G-高新:G-浙江天硕'!N56)</f>
        <v>0</v>
      </c>
      <c r="O56" s="21">
        <f>SUM('G-高新:G-浙江天硕'!O56)</f>
        <v>0</v>
      </c>
      <c r="P56" s="47">
        <f t="shared" si="0"/>
        <v>7440.01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>
        <f>SUM('G-高新:G-浙江天硕'!D57)</f>
        <v>1502.3</v>
      </c>
      <c r="E57" s="21">
        <f>SUM('G-高新:G-浙江天硕'!E57)</f>
        <v>0</v>
      </c>
      <c r="F57" s="21">
        <f>SUM('G-高新:G-浙江天硕'!F57)</f>
        <v>2507.36</v>
      </c>
      <c r="G57" s="21">
        <f>SUM('G-高新:G-浙江天硕'!G57)</f>
        <v>58111.06</v>
      </c>
      <c r="H57" s="21">
        <f>SUM('G-高新:G-浙江天硕'!H57)</f>
        <v>4.221004</v>
      </c>
      <c r="I57" s="21">
        <f>SUM('G-高新:G-浙江天硕'!I57)</f>
        <v>0</v>
      </c>
      <c r="J57" s="21">
        <f>SUM('G-高新:G-浙江天硕'!J57)</f>
        <v>0</v>
      </c>
      <c r="K57" s="21">
        <f>SUM('G-高新:G-浙江天硕'!K57)</f>
        <v>0</v>
      </c>
      <c r="L57" s="21">
        <f>SUM('G-高新:G-浙江天硕'!L57)</f>
        <v>0</v>
      </c>
      <c r="M57" s="21">
        <f>SUM('G-高新:G-浙江天硕'!M57)</f>
        <v>0</v>
      </c>
      <c r="N57" s="21">
        <f>SUM('G-高新:G-浙江天硕'!N57)</f>
        <v>0</v>
      </c>
      <c r="O57" s="21">
        <f>SUM('G-高新:G-浙江天硕'!O57)</f>
        <v>0</v>
      </c>
      <c r="P57" s="47">
        <f t="shared" si="0"/>
        <v>62124.941004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>
        <f>SUM('G-高新:G-浙江天硕'!D58)</f>
        <v>0</v>
      </c>
      <c r="E58" s="21">
        <f>SUM('G-高新:G-浙江天硕'!E58)</f>
        <v>0</v>
      </c>
      <c r="F58" s="21">
        <f>SUM('G-高新:G-浙江天硕'!F58)</f>
        <v>0</v>
      </c>
      <c r="G58" s="21">
        <f>SUM('G-高新:G-浙江天硕'!G58)</f>
        <v>0</v>
      </c>
      <c r="H58" s="21">
        <f>SUM('G-高新:G-浙江天硕'!H58)</f>
        <v>0</v>
      </c>
      <c r="I58" s="21">
        <f>SUM('G-高新:G-浙江天硕'!I58)</f>
        <v>0</v>
      </c>
      <c r="J58" s="21">
        <f>SUM('G-高新:G-浙江天硕'!J58)</f>
        <v>0</v>
      </c>
      <c r="K58" s="21">
        <f>SUM('G-高新:G-浙江天硕'!K58)</f>
        <v>0</v>
      </c>
      <c r="L58" s="21">
        <f>SUM('G-高新:G-浙江天硕'!L58)</f>
        <v>0</v>
      </c>
      <c r="M58" s="21">
        <f>SUM('G-高新:G-浙江天硕'!M58)</f>
        <v>0</v>
      </c>
      <c r="N58" s="21">
        <f>SUM('G-高新:G-浙江天硕'!N58)</f>
        <v>0</v>
      </c>
      <c r="O58" s="21">
        <f>SUM('G-高新:G-浙江天硕'!O58)</f>
        <v>0</v>
      </c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>
        <f>SUM('G-高新:G-浙江天硕'!D59)</f>
        <v>0</v>
      </c>
      <c r="E59" s="21">
        <f>SUM('G-高新:G-浙江天硕'!E59)</f>
        <v>0</v>
      </c>
      <c r="F59" s="21">
        <f>SUM('G-高新:G-浙江天硕'!F59)</f>
        <v>0</v>
      </c>
      <c r="G59" s="21">
        <f>SUM('G-高新:G-浙江天硕'!G59)</f>
        <v>64188.68</v>
      </c>
      <c r="H59" s="21">
        <f>SUM('G-高新:G-浙江天硕'!H59)</f>
        <v>0</v>
      </c>
      <c r="I59" s="21">
        <f>SUM('G-高新:G-浙江天硕'!I59)</f>
        <v>0</v>
      </c>
      <c r="J59" s="21">
        <f>SUM('G-高新:G-浙江天硕'!J59)</f>
        <v>0</v>
      </c>
      <c r="K59" s="21">
        <f>SUM('G-高新:G-浙江天硕'!K59)</f>
        <v>0</v>
      </c>
      <c r="L59" s="21">
        <f>SUM('G-高新:G-浙江天硕'!L59)</f>
        <v>0</v>
      </c>
      <c r="M59" s="21">
        <f>SUM('G-高新:G-浙江天硕'!M59)</f>
        <v>0</v>
      </c>
      <c r="N59" s="21">
        <f>SUM('G-高新:G-浙江天硕'!N59)</f>
        <v>0</v>
      </c>
      <c r="O59" s="21">
        <f>SUM('G-高新:G-浙江天硕'!O59)</f>
        <v>0</v>
      </c>
      <c r="P59" s="47">
        <f t="shared" si="0"/>
        <v>64188.68</v>
      </c>
    </row>
    <row r="60" s="5" customFormat="1" ht="17.25" customHeight="1" spans="1:16">
      <c r="A60" s="214"/>
      <c r="B60" s="39"/>
      <c r="C60" s="207" t="s">
        <v>83</v>
      </c>
      <c r="D60" s="21">
        <f>SUM('G-高新:G-浙江天硕'!D60)</f>
        <v>0</v>
      </c>
      <c r="E60" s="21">
        <f>SUM('G-高新:G-浙江天硕'!E60)</f>
        <v>0</v>
      </c>
      <c r="F60" s="21">
        <f>SUM('G-高新:G-浙江天硕'!F60)</f>
        <v>0</v>
      </c>
      <c r="G60" s="21">
        <f>SUM('G-高新:G-浙江天硕'!G60)</f>
        <v>0</v>
      </c>
      <c r="H60" s="21">
        <f>SUM('G-高新:G-浙江天硕'!H60)</f>
        <v>0</v>
      </c>
      <c r="I60" s="21">
        <f>SUM('G-高新:G-浙江天硕'!I60)</f>
        <v>0</v>
      </c>
      <c r="J60" s="21">
        <f>SUM('G-高新:G-浙江天硕'!J60)</f>
        <v>0</v>
      </c>
      <c r="K60" s="21">
        <f>SUM('G-高新:G-浙江天硕'!K60)</f>
        <v>0</v>
      </c>
      <c r="L60" s="21">
        <f>SUM('G-高新:G-浙江天硕'!L60)</f>
        <v>0</v>
      </c>
      <c r="M60" s="21">
        <f>SUM('G-高新:G-浙江天硕'!M60)</f>
        <v>0</v>
      </c>
      <c r="N60" s="21">
        <f>SUM('G-高新:G-浙江天硕'!N60)</f>
        <v>0</v>
      </c>
      <c r="O60" s="21">
        <f>SUM('G-高新:G-浙江天硕'!O60)</f>
        <v>0</v>
      </c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>
        <f>SUM('G-高新:G-浙江天硕'!D61)</f>
        <v>0</v>
      </c>
      <c r="E61" s="21">
        <f>SUM('G-高新:G-浙江天硕'!E61)</f>
        <v>0</v>
      </c>
      <c r="F61" s="21">
        <f>SUM('G-高新:G-浙江天硕'!F61)</f>
        <v>0</v>
      </c>
      <c r="G61" s="21">
        <f>SUM('G-高新:G-浙江天硕'!G61)</f>
        <v>0</v>
      </c>
      <c r="H61" s="21">
        <f>SUM('G-高新:G-浙江天硕'!H61)</f>
        <v>0</v>
      </c>
      <c r="I61" s="21">
        <f>SUM('G-高新:G-浙江天硕'!I61)</f>
        <v>0</v>
      </c>
      <c r="J61" s="21">
        <f>SUM('G-高新:G-浙江天硕'!J61)</f>
        <v>0</v>
      </c>
      <c r="K61" s="21">
        <f>SUM('G-高新:G-浙江天硕'!K61)</f>
        <v>0</v>
      </c>
      <c r="L61" s="21">
        <f>SUM('G-高新:G-浙江天硕'!L61)</f>
        <v>0</v>
      </c>
      <c r="M61" s="21">
        <f>SUM('G-高新:G-浙江天硕'!M61)</f>
        <v>0</v>
      </c>
      <c r="N61" s="21">
        <f>SUM('G-高新:G-浙江天硕'!N61)</f>
        <v>0</v>
      </c>
      <c r="O61" s="21">
        <f>SUM('G-高新:G-浙江天硕'!O61)</f>
        <v>0</v>
      </c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>
        <f>SUM('G-高新:G-浙江天硕'!D62)</f>
        <v>0</v>
      </c>
      <c r="E62" s="21">
        <f>SUM('G-高新:G-浙江天硕'!E62)</f>
        <v>0</v>
      </c>
      <c r="F62" s="21">
        <f>SUM('G-高新:G-浙江天硕'!F62)</f>
        <v>0</v>
      </c>
      <c r="G62" s="21">
        <f>SUM('G-高新:G-浙江天硕'!G62)</f>
        <v>3051.17</v>
      </c>
      <c r="H62" s="21">
        <f>SUM('G-高新:G-浙江天硕'!H62)</f>
        <v>0</v>
      </c>
      <c r="I62" s="21">
        <f>SUM('G-高新:G-浙江天硕'!I62)</f>
        <v>0</v>
      </c>
      <c r="J62" s="21">
        <f>SUM('G-高新:G-浙江天硕'!J62)</f>
        <v>0</v>
      </c>
      <c r="K62" s="21">
        <f>SUM('G-高新:G-浙江天硕'!K62)</f>
        <v>0</v>
      </c>
      <c r="L62" s="21">
        <f>SUM('G-高新:G-浙江天硕'!L62)</f>
        <v>0</v>
      </c>
      <c r="M62" s="21">
        <f>SUM('G-高新:G-浙江天硕'!M62)</f>
        <v>0</v>
      </c>
      <c r="N62" s="21">
        <f>SUM('G-高新:G-浙江天硕'!N62)</f>
        <v>0</v>
      </c>
      <c r="O62" s="21">
        <f>SUM('G-高新:G-浙江天硕'!O62)</f>
        <v>0</v>
      </c>
      <c r="P62" s="47">
        <f t="shared" si="0"/>
        <v>3051.17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>
        <f>SUM('G-高新:G-浙江天硕'!D63)</f>
        <v>0</v>
      </c>
      <c r="E63" s="21">
        <f>SUM('G-高新:G-浙江天硕'!E63)</f>
        <v>0</v>
      </c>
      <c r="F63" s="21">
        <f>SUM('G-高新:G-浙江天硕'!F63)</f>
        <v>6481.61</v>
      </c>
      <c r="G63" s="21">
        <f>SUM('G-高新:G-浙江天硕'!G63)</f>
        <v>594.28</v>
      </c>
      <c r="H63" s="21">
        <f>SUM('G-高新:G-浙江天硕'!H63)</f>
        <v>0</v>
      </c>
      <c r="I63" s="21">
        <f>SUM('G-高新:G-浙江天硕'!I63)</f>
        <v>0</v>
      </c>
      <c r="J63" s="21">
        <f>SUM('G-高新:G-浙江天硕'!J63)</f>
        <v>0</v>
      </c>
      <c r="K63" s="21">
        <f>SUM('G-高新:G-浙江天硕'!K63)</f>
        <v>0</v>
      </c>
      <c r="L63" s="21">
        <f>SUM('G-高新:G-浙江天硕'!L63)</f>
        <v>0</v>
      </c>
      <c r="M63" s="21">
        <f>SUM('G-高新:G-浙江天硕'!M63)</f>
        <v>0</v>
      </c>
      <c r="N63" s="21">
        <f>SUM('G-高新:G-浙江天硕'!N63)</f>
        <v>0</v>
      </c>
      <c r="O63" s="21">
        <f>SUM('G-高新:G-浙江天硕'!O63)</f>
        <v>0</v>
      </c>
      <c r="P63" s="47">
        <f t="shared" si="0"/>
        <v>7075.89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>
        <f>SUM('G-高新:G-浙江天硕'!D64)</f>
        <v>16638.32</v>
      </c>
      <c r="E64" s="21">
        <f>SUM('G-高新:G-浙江天硕'!E64)</f>
        <v>32943.89</v>
      </c>
      <c r="F64" s="21">
        <f>SUM('G-高新:G-浙江天硕'!F64)</f>
        <v>45740.2</v>
      </c>
      <c r="G64" s="21">
        <f>SUM('G-高新:G-浙江天硕'!G64)</f>
        <v>27893.67</v>
      </c>
      <c r="H64" s="21">
        <f>SUM('G-高新:G-浙江天硕'!H64)</f>
        <v>0.384249</v>
      </c>
      <c r="I64" s="21">
        <f>SUM('G-高新:G-浙江天硕'!I64)</f>
        <v>0</v>
      </c>
      <c r="J64" s="21">
        <f>SUM('G-高新:G-浙江天硕'!J64)</f>
        <v>0</v>
      </c>
      <c r="K64" s="21">
        <f>SUM('G-高新:G-浙江天硕'!K64)</f>
        <v>0</v>
      </c>
      <c r="L64" s="21">
        <f>SUM('G-高新:G-浙江天硕'!L64)</f>
        <v>0</v>
      </c>
      <c r="M64" s="21">
        <f>SUM('G-高新:G-浙江天硕'!M64)</f>
        <v>0</v>
      </c>
      <c r="N64" s="21">
        <f>SUM('G-高新:G-浙江天硕'!N64)</f>
        <v>0</v>
      </c>
      <c r="O64" s="21">
        <f>SUM('G-高新:G-浙江天硕'!O64)</f>
        <v>0</v>
      </c>
      <c r="P64" s="47">
        <f t="shared" si="0"/>
        <v>123216.464249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>
        <f>SUM('G-高新:G-浙江天硕'!D65)</f>
        <v>174801.42</v>
      </c>
      <c r="E65" s="21">
        <f>SUM('G-高新:G-浙江天硕'!E65)</f>
        <v>156187.51</v>
      </c>
      <c r="F65" s="21">
        <f>SUM('G-高新:G-浙江天硕'!F65)</f>
        <v>342702.51</v>
      </c>
      <c r="G65" s="21">
        <f>SUM('G-高新:G-浙江天硕'!G65)</f>
        <v>862992.41</v>
      </c>
      <c r="H65" s="21">
        <f>SUM('G-高新:G-浙江天硕'!H65)</f>
        <v>10.175023</v>
      </c>
      <c r="I65" s="21">
        <f>SUM('G-高新:G-浙江天硕'!I65)</f>
        <v>0</v>
      </c>
      <c r="J65" s="21">
        <f>SUM('G-高新:G-浙江天硕'!J65)</f>
        <v>0</v>
      </c>
      <c r="K65" s="21">
        <f>SUM('G-高新:G-浙江天硕'!K65)</f>
        <v>0</v>
      </c>
      <c r="L65" s="21">
        <f>SUM('G-高新:G-浙江天硕'!L65)</f>
        <v>0</v>
      </c>
      <c r="M65" s="21">
        <f>SUM('G-高新:G-浙江天硕'!M65)</f>
        <v>0</v>
      </c>
      <c r="N65" s="21">
        <f>SUM('G-高新:G-浙江天硕'!N65)</f>
        <v>0</v>
      </c>
      <c r="O65" s="21">
        <f>SUM('G-高新:G-浙江天硕'!O65)</f>
        <v>0</v>
      </c>
      <c r="P65" s="47">
        <f t="shared" si="0"/>
        <v>1536694.025023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>
        <f>SUM('G-高新:G-浙江天硕'!D66)</f>
        <v>7115.27</v>
      </c>
      <c r="E66" s="21">
        <f>SUM('G-高新:G-浙江天硕'!E66)</f>
        <v>45471.07</v>
      </c>
      <c r="F66" s="21">
        <f>SUM('G-高新:G-浙江天硕'!F66)</f>
        <v>17718.82</v>
      </c>
      <c r="G66" s="21">
        <f>SUM('G-高新:G-浙江天硕'!G66)</f>
        <v>179370.14</v>
      </c>
      <c r="H66" s="21">
        <f>SUM('G-高新:G-浙江天硕'!H66)</f>
        <v>14.269747</v>
      </c>
      <c r="I66" s="21">
        <f>SUM('G-高新:G-浙江天硕'!I66)</f>
        <v>0</v>
      </c>
      <c r="J66" s="21">
        <f>SUM('G-高新:G-浙江天硕'!J66)</f>
        <v>0</v>
      </c>
      <c r="K66" s="21">
        <f>SUM('G-高新:G-浙江天硕'!K66)</f>
        <v>0</v>
      </c>
      <c r="L66" s="21">
        <f>SUM('G-高新:G-浙江天硕'!L66)</f>
        <v>0</v>
      </c>
      <c r="M66" s="21">
        <f>SUM('G-高新:G-浙江天硕'!M66)</f>
        <v>0</v>
      </c>
      <c r="N66" s="21">
        <f>SUM('G-高新:G-浙江天硕'!N66)</f>
        <v>0</v>
      </c>
      <c r="O66" s="21">
        <f>SUM('G-高新:G-浙江天硕'!O66)</f>
        <v>0</v>
      </c>
      <c r="P66" s="47">
        <f t="shared" si="0"/>
        <v>249689.569747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>
        <f>SUM('G-高新:G-浙江天硕'!D67)</f>
        <v>20523.69</v>
      </c>
      <c r="E67" s="21">
        <f>SUM('G-高新:G-浙江天硕'!E67)</f>
        <v>16291.86</v>
      </c>
      <c r="F67" s="21">
        <f>SUM('G-高新:G-浙江天硕'!F67)</f>
        <v>21423.5</v>
      </c>
      <c r="G67" s="21">
        <f>SUM('G-高新:G-浙江天硕'!G67)</f>
        <v>-18441.69</v>
      </c>
      <c r="H67" s="21">
        <f>SUM('G-高新:G-浙江天硕'!H67)</f>
        <v>0</v>
      </c>
      <c r="I67" s="21">
        <f>SUM('G-高新:G-浙江天硕'!I67)</f>
        <v>0</v>
      </c>
      <c r="J67" s="21">
        <f>SUM('G-高新:G-浙江天硕'!J67)</f>
        <v>0</v>
      </c>
      <c r="K67" s="21">
        <f>SUM('G-高新:G-浙江天硕'!K67)</f>
        <v>0</v>
      </c>
      <c r="L67" s="21">
        <f>SUM('G-高新:G-浙江天硕'!L67)</f>
        <v>0</v>
      </c>
      <c r="M67" s="21">
        <f>SUM('G-高新:G-浙江天硕'!M67)</f>
        <v>0</v>
      </c>
      <c r="N67" s="21">
        <f>SUM('G-高新:G-浙江天硕'!N67)</f>
        <v>0</v>
      </c>
      <c r="O67" s="21">
        <f>SUM('G-高新:G-浙江天硕'!O67)</f>
        <v>0</v>
      </c>
      <c r="P67" s="47">
        <f t="shared" si="0"/>
        <v>39797.36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>
        <f>SUM('G-高新:G-浙江天硕'!D68)</f>
        <v>0</v>
      </c>
      <c r="E68" s="21">
        <f>SUM('G-高新:G-浙江天硕'!E68)</f>
        <v>2060</v>
      </c>
      <c r="F68" s="21">
        <f>SUM('G-高新:G-浙江天硕'!F68)</f>
        <v>0</v>
      </c>
      <c r="G68" s="21">
        <f>SUM('G-高新:G-浙江天硕'!G68)</f>
        <v>534.8</v>
      </c>
      <c r="H68" s="21">
        <f>SUM('G-高新:G-浙江天硕'!H68)</f>
        <v>0.05348</v>
      </c>
      <c r="I68" s="21">
        <f>SUM('G-高新:G-浙江天硕'!I68)</f>
        <v>0</v>
      </c>
      <c r="J68" s="21">
        <f>SUM('G-高新:G-浙江天硕'!J68)</f>
        <v>0</v>
      </c>
      <c r="K68" s="21">
        <f>SUM('G-高新:G-浙江天硕'!K68)</f>
        <v>0</v>
      </c>
      <c r="L68" s="21">
        <f>SUM('G-高新:G-浙江天硕'!L68)</f>
        <v>0</v>
      </c>
      <c r="M68" s="21">
        <f>SUM('G-高新:G-浙江天硕'!M68)</f>
        <v>0</v>
      </c>
      <c r="N68" s="21">
        <f>SUM('G-高新:G-浙江天硕'!N68)</f>
        <v>0</v>
      </c>
      <c r="O68" s="21">
        <f>SUM('G-高新:G-浙江天硕'!O68)</f>
        <v>0</v>
      </c>
      <c r="P68" s="47">
        <f t="shared" si="0"/>
        <v>2594.85348</v>
      </c>
    </row>
    <row r="69" s="5" customFormat="1" ht="17.25" customHeight="1" spans="1:16">
      <c r="A69" s="217"/>
      <c r="B69" s="39"/>
      <c r="C69" s="207" t="s">
        <v>146</v>
      </c>
      <c r="D69" s="21">
        <f>SUM('G-高新:G-浙江天硕'!D69)</f>
        <v>14996.33</v>
      </c>
      <c r="E69" s="21">
        <f>SUM('G-高新:G-浙江天硕'!E69)</f>
        <v>1983.92</v>
      </c>
      <c r="F69" s="21">
        <f>SUM('G-高新:G-浙江天硕'!F69)</f>
        <v>1094.34</v>
      </c>
      <c r="G69" s="21">
        <f>SUM('G-高新:G-浙江天硕'!G69)</f>
        <v>186335.98</v>
      </c>
      <c r="H69" s="21">
        <f>SUM('G-高新:G-浙江天硕'!H69)</f>
        <v>18.165138</v>
      </c>
      <c r="I69" s="21">
        <f>SUM('G-高新:G-浙江天硕'!I69)</f>
        <v>0</v>
      </c>
      <c r="J69" s="21">
        <f>SUM('G-高新:G-浙江天硕'!J69)</f>
        <v>0</v>
      </c>
      <c r="K69" s="21">
        <f>SUM('G-高新:G-浙江天硕'!K69)</f>
        <v>0</v>
      </c>
      <c r="L69" s="21">
        <f>SUM('G-高新:G-浙江天硕'!L69)</f>
        <v>0</v>
      </c>
      <c r="M69" s="21">
        <f>SUM('G-高新:G-浙江天硕'!M69)</f>
        <v>0</v>
      </c>
      <c r="N69" s="21">
        <f>SUM('G-高新:G-浙江天硕'!N69)</f>
        <v>0</v>
      </c>
      <c r="O69" s="21">
        <f>SUM('G-高新:G-浙江天硕'!O69)</f>
        <v>0</v>
      </c>
      <c r="P69" s="47">
        <f t="shared" si="0"/>
        <v>204428.735138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f>SUM('G-高新:G-浙江天硕'!D70)</f>
        <v>6690.92</v>
      </c>
      <c r="E70" s="21">
        <f>SUM('G-高新:G-浙江天硕'!E70)</f>
        <v>15093.52</v>
      </c>
      <c r="F70" s="21">
        <f>SUM('G-高新:G-浙江天硕'!F70)</f>
        <v>18946.95</v>
      </c>
      <c r="G70" s="21">
        <f>SUM('G-高新:G-浙江天硕'!G70)</f>
        <v>18645.89</v>
      </c>
      <c r="H70" s="21">
        <f>SUM('G-高新:G-浙江天硕'!H70)</f>
        <v>0.253607</v>
      </c>
      <c r="I70" s="21">
        <f>SUM('G-高新:G-浙江天硕'!I70)</f>
        <v>0</v>
      </c>
      <c r="J70" s="21">
        <f>SUM('G-高新:G-浙江天硕'!J70)</f>
        <v>0</v>
      </c>
      <c r="K70" s="21">
        <f>SUM('G-高新:G-浙江天硕'!K70)</f>
        <v>0</v>
      </c>
      <c r="L70" s="21">
        <f>SUM('G-高新:G-浙江天硕'!L70)</f>
        <v>0</v>
      </c>
      <c r="M70" s="21">
        <f>SUM('G-高新:G-浙江天硕'!M70)</f>
        <v>0</v>
      </c>
      <c r="N70" s="21">
        <f>SUM('G-高新:G-浙江天硕'!N70)</f>
        <v>0</v>
      </c>
      <c r="O70" s="21">
        <f>SUM('G-高新:G-浙江天硕'!O70)</f>
        <v>0</v>
      </c>
      <c r="P70" s="47">
        <f t="shared" si="0"/>
        <v>59377.533607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>
        <f>SUM('G-高新:G-浙江天硕'!D71)</f>
        <v>0</v>
      </c>
      <c r="E71" s="21">
        <f>SUM('G-高新:G-浙江天硕'!E71)</f>
        <v>0</v>
      </c>
      <c r="F71" s="21">
        <f>SUM('G-高新:G-浙江天硕'!F71)</f>
        <v>0</v>
      </c>
      <c r="G71" s="21">
        <f>SUM('G-高新:G-浙江天硕'!G71)</f>
        <v>0</v>
      </c>
      <c r="H71" s="21">
        <f>SUM('G-高新:G-浙江天硕'!H71)</f>
        <v>0</v>
      </c>
      <c r="I71" s="21">
        <f>SUM('G-高新:G-浙江天硕'!I71)</f>
        <v>0</v>
      </c>
      <c r="J71" s="21">
        <f>SUM('G-高新:G-浙江天硕'!J71)</f>
        <v>0</v>
      </c>
      <c r="K71" s="21">
        <f>SUM('G-高新:G-浙江天硕'!K71)</f>
        <v>0</v>
      </c>
      <c r="L71" s="21">
        <f>SUM('G-高新:G-浙江天硕'!L71)</f>
        <v>0</v>
      </c>
      <c r="M71" s="21">
        <f>SUM('G-高新:G-浙江天硕'!M71)</f>
        <v>0</v>
      </c>
      <c r="N71" s="21">
        <f>SUM('G-高新:G-浙江天硕'!N71)</f>
        <v>0</v>
      </c>
      <c r="O71" s="21">
        <f>SUM('G-高新:G-浙江天硕'!O71)</f>
        <v>0</v>
      </c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>
        <f>SUM('G-高新:G-浙江天硕'!D72)</f>
        <v>0</v>
      </c>
      <c r="E72" s="21">
        <f>SUM('G-高新:G-浙江天硕'!E72)</f>
        <v>0</v>
      </c>
      <c r="F72" s="21">
        <f>SUM('G-高新:G-浙江天硕'!F72)</f>
        <v>0</v>
      </c>
      <c r="G72" s="21">
        <f>SUM('G-高新:G-浙江天硕'!G72)</f>
        <v>0</v>
      </c>
      <c r="H72" s="21">
        <f>SUM('G-高新:G-浙江天硕'!H72)</f>
        <v>0</v>
      </c>
      <c r="I72" s="21">
        <f>SUM('G-高新:G-浙江天硕'!I72)</f>
        <v>0</v>
      </c>
      <c r="J72" s="21">
        <f>SUM('G-高新:G-浙江天硕'!J72)</f>
        <v>0</v>
      </c>
      <c r="K72" s="21">
        <f>SUM('G-高新:G-浙江天硕'!K72)</f>
        <v>0</v>
      </c>
      <c r="L72" s="21">
        <f>SUM('G-高新:G-浙江天硕'!L72)</f>
        <v>0</v>
      </c>
      <c r="M72" s="21">
        <f>SUM('G-高新:G-浙江天硕'!M72)</f>
        <v>0</v>
      </c>
      <c r="N72" s="21">
        <f>SUM('G-高新:G-浙江天硕'!N72)</f>
        <v>0</v>
      </c>
      <c r="O72" s="21">
        <f>SUM('G-高新:G-浙江天硕'!O72)</f>
        <v>0</v>
      </c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>
        <f>SUM('G-高新:G-浙江天硕'!D73)</f>
        <v>0</v>
      </c>
      <c r="E73" s="21">
        <f>SUM('G-高新:G-浙江天硕'!E73)</f>
        <v>0</v>
      </c>
      <c r="F73" s="21">
        <f>SUM('G-高新:G-浙江天硕'!F73)</f>
        <v>0</v>
      </c>
      <c r="G73" s="21">
        <f>SUM('G-高新:G-浙江天硕'!G73)</f>
        <v>0</v>
      </c>
      <c r="H73" s="21">
        <f>SUM('G-高新:G-浙江天硕'!H73)</f>
        <v>0</v>
      </c>
      <c r="I73" s="21">
        <f>SUM('G-高新:G-浙江天硕'!I73)</f>
        <v>0</v>
      </c>
      <c r="J73" s="21">
        <f>SUM('G-高新:G-浙江天硕'!J73)</f>
        <v>0</v>
      </c>
      <c r="K73" s="21">
        <f>SUM('G-高新:G-浙江天硕'!K73)</f>
        <v>0</v>
      </c>
      <c r="L73" s="21">
        <f>SUM('G-高新:G-浙江天硕'!L73)</f>
        <v>0</v>
      </c>
      <c r="M73" s="21">
        <f>SUM('G-高新:G-浙江天硕'!M73)</f>
        <v>0</v>
      </c>
      <c r="N73" s="21">
        <f>SUM('G-高新:G-浙江天硕'!N73)</f>
        <v>0</v>
      </c>
      <c r="O73" s="21">
        <f>SUM('G-高新:G-浙江天硕'!O73)</f>
        <v>0</v>
      </c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>
        <f>SUM('G-高新:G-浙江天硕'!D74)</f>
        <v>115.09</v>
      </c>
      <c r="E74" s="21">
        <f>SUM('G-高新:G-浙江天硕'!E74)</f>
        <v>0</v>
      </c>
      <c r="F74" s="21">
        <f>SUM('G-高新:G-浙江天硕'!F74)</f>
        <v>586.79</v>
      </c>
      <c r="G74" s="21">
        <f>SUM('G-高新:G-浙江天硕'!G74)</f>
        <v>0</v>
      </c>
      <c r="H74" s="21">
        <f>SUM('G-高新:G-浙江天硕'!H74)</f>
        <v>-0.058679</v>
      </c>
      <c r="I74" s="21">
        <f>SUM('G-高新:G-浙江天硕'!I74)</f>
        <v>0</v>
      </c>
      <c r="J74" s="21">
        <f>SUM('G-高新:G-浙江天硕'!J74)</f>
        <v>0</v>
      </c>
      <c r="K74" s="21">
        <f>SUM('G-高新:G-浙江天硕'!K74)</f>
        <v>0</v>
      </c>
      <c r="L74" s="21">
        <f>SUM('G-高新:G-浙江天硕'!L74)</f>
        <v>0</v>
      </c>
      <c r="M74" s="21">
        <f>SUM('G-高新:G-浙江天硕'!M74)</f>
        <v>0</v>
      </c>
      <c r="N74" s="21">
        <f>SUM('G-高新:G-浙江天硕'!N74)</f>
        <v>0</v>
      </c>
      <c r="O74" s="21">
        <f>SUM('G-高新:G-浙江天硕'!O74)</f>
        <v>0</v>
      </c>
      <c r="P74" s="47">
        <f t="shared" si="1"/>
        <v>701.821321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>
        <f>SUM('G-高新:G-浙江天硕'!D75)</f>
        <v>450</v>
      </c>
      <c r="E75" s="21">
        <f>SUM('G-高新:G-浙江天硕'!E75)</f>
        <v>0</v>
      </c>
      <c r="F75" s="21">
        <f>SUM('G-高新:G-浙江天硕'!F75)</f>
        <v>0</v>
      </c>
      <c r="G75" s="21">
        <f>SUM('G-高新:G-浙江天硕'!G75)</f>
        <v>450</v>
      </c>
      <c r="H75" s="21">
        <f>SUM('G-高新:G-浙江天硕'!H75)</f>
        <v>0</v>
      </c>
      <c r="I75" s="21">
        <f>SUM('G-高新:G-浙江天硕'!I75)</f>
        <v>0</v>
      </c>
      <c r="J75" s="21">
        <f>SUM('G-高新:G-浙江天硕'!J75)</f>
        <v>0</v>
      </c>
      <c r="K75" s="21">
        <f>SUM('G-高新:G-浙江天硕'!K75)</f>
        <v>0</v>
      </c>
      <c r="L75" s="21">
        <f>SUM('G-高新:G-浙江天硕'!L75)</f>
        <v>0</v>
      </c>
      <c r="M75" s="21">
        <f>SUM('G-高新:G-浙江天硕'!M75)</f>
        <v>0</v>
      </c>
      <c r="N75" s="21">
        <f>SUM('G-高新:G-浙江天硕'!N75)</f>
        <v>0</v>
      </c>
      <c r="O75" s="21">
        <f>SUM('G-高新:G-浙江天硕'!O75)</f>
        <v>0</v>
      </c>
      <c r="P75" s="47">
        <f t="shared" si="1"/>
        <v>900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>
        <f>SUM('G-高新:G-浙江天硕'!D76)</f>
        <v>12710.83</v>
      </c>
      <c r="E76" s="21">
        <f>SUM('G-高新:G-浙江天硕'!E76)</f>
        <v>15542</v>
      </c>
      <c r="F76" s="21">
        <f>SUM('G-高新:G-浙江天硕'!F76)</f>
        <v>339406.18</v>
      </c>
      <c r="G76" s="21">
        <f>SUM('G-高新:G-浙江天硕'!G76)</f>
        <v>79405.66</v>
      </c>
      <c r="H76" s="21">
        <f>SUM('G-高新:G-浙江天硕'!H76)</f>
        <v>-0.117</v>
      </c>
      <c r="I76" s="21">
        <f>SUM('G-高新:G-浙江天硕'!I76)</f>
        <v>0</v>
      </c>
      <c r="J76" s="21">
        <f>SUM('G-高新:G-浙江天硕'!J76)</f>
        <v>0</v>
      </c>
      <c r="K76" s="21">
        <f>SUM('G-高新:G-浙江天硕'!K76)</f>
        <v>0</v>
      </c>
      <c r="L76" s="21">
        <f>SUM('G-高新:G-浙江天硕'!L76)</f>
        <v>0</v>
      </c>
      <c r="M76" s="21">
        <f>SUM('G-高新:G-浙江天硕'!M76)</f>
        <v>0</v>
      </c>
      <c r="N76" s="21">
        <f>SUM('G-高新:G-浙江天硕'!N76)</f>
        <v>0</v>
      </c>
      <c r="O76" s="21">
        <f>SUM('G-高新:G-浙江天硕'!O76)</f>
        <v>0</v>
      </c>
      <c r="P76" s="47">
        <f t="shared" si="1"/>
        <v>447064.553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>
        <f>SUM('G-高新:G-浙江天硕'!D77)</f>
        <v>0</v>
      </c>
      <c r="E77" s="21">
        <f>SUM('G-高新:G-浙江天硕'!E77)</f>
        <v>62199.72</v>
      </c>
      <c r="F77" s="21">
        <f>SUM('G-高新:G-浙江天硕'!F77)</f>
        <v>118496.36</v>
      </c>
      <c r="G77" s="21">
        <f>SUM('G-高新:G-浙江天硕'!G77)</f>
        <v>226360.35</v>
      </c>
      <c r="H77" s="21">
        <f>SUM('G-高新:G-浙江天硕'!H77)</f>
        <v>19.740951</v>
      </c>
      <c r="I77" s="21">
        <f>SUM('G-高新:G-浙江天硕'!I77)</f>
        <v>0</v>
      </c>
      <c r="J77" s="21">
        <f>SUM('G-高新:G-浙江天硕'!J77)</f>
        <v>0</v>
      </c>
      <c r="K77" s="21">
        <f>SUM('G-高新:G-浙江天硕'!K77)</f>
        <v>0</v>
      </c>
      <c r="L77" s="21">
        <f>SUM('G-高新:G-浙江天硕'!L77)</f>
        <v>0</v>
      </c>
      <c r="M77" s="21">
        <f>SUM('G-高新:G-浙江天硕'!M77)</f>
        <v>0</v>
      </c>
      <c r="N77" s="21">
        <f>SUM('G-高新:G-浙江天硕'!N77)</f>
        <v>0</v>
      </c>
      <c r="O77" s="21">
        <f>SUM('G-高新:G-浙江天硕'!O77)</f>
        <v>0</v>
      </c>
      <c r="P77" s="47">
        <f t="shared" si="1"/>
        <v>407076.170951</v>
      </c>
    </row>
    <row r="78" s="5" customFormat="1" ht="17.25" customHeight="1" spans="1:16">
      <c r="A78" s="221"/>
      <c r="B78" s="23"/>
      <c r="C78" s="218" t="s">
        <v>158</v>
      </c>
      <c r="D78" s="21">
        <f>SUM('G-高新:G-浙江天硕'!D78)</f>
        <v>9708.74</v>
      </c>
      <c r="E78" s="21">
        <f>SUM('G-高新:G-浙江天硕'!E78)</f>
        <v>268000</v>
      </c>
      <c r="F78" s="21">
        <f>SUM('G-高新:G-浙江天硕'!F78)</f>
        <v>0</v>
      </c>
      <c r="G78" s="21">
        <f>SUM('G-高新:G-浙江天硕'!G78)</f>
        <v>0</v>
      </c>
      <c r="H78" s="21">
        <f>SUM('G-高新:G-浙江天硕'!H78)</f>
        <v>0</v>
      </c>
      <c r="I78" s="21">
        <f>SUM('G-高新:G-浙江天硕'!I78)</f>
        <v>0</v>
      </c>
      <c r="J78" s="21">
        <f>SUM('G-高新:G-浙江天硕'!J78)</f>
        <v>0</v>
      </c>
      <c r="K78" s="21">
        <f>SUM('G-高新:G-浙江天硕'!K78)</f>
        <v>0</v>
      </c>
      <c r="L78" s="21">
        <f>SUM('G-高新:G-浙江天硕'!L78)</f>
        <v>0</v>
      </c>
      <c r="M78" s="21">
        <f>SUM('G-高新:G-浙江天硕'!M78)</f>
        <v>0</v>
      </c>
      <c r="N78" s="21">
        <f>SUM('G-高新:G-浙江天硕'!N78)</f>
        <v>0</v>
      </c>
      <c r="O78" s="21">
        <f>SUM('G-高新:G-浙江天硕'!O78)</f>
        <v>0</v>
      </c>
      <c r="P78" s="47">
        <f t="shared" si="1"/>
        <v>277708.74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>
        <f>SUM('G-高新:G-浙江天硕'!D79)</f>
        <v>19989.01</v>
      </c>
      <c r="E79" s="21">
        <f>SUM('G-高新:G-浙江天硕'!E79)</f>
        <v>-19996</v>
      </c>
      <c r="F79" s="21">
        <f>SUM('G-高新:G-浙江天硕'!F79)</f>
        <v>1869.1</v>
      </c>
      <c r="G79" s="21">
        <f>SUM('G-高新:G-浙江天硕'!G79)</f>
        <v>232073.49</v>
      </c>
      <c r="H79" s="21">
        <f>SUM('G-高新:G-浙江天硕'!H79)</f>
        <v>19.314815</v>
      </c>
      <c r="I79" s="21">
        <f>SUM('G-高新:G-浙江天硕'!I79)</f>
        <v>0</v>
      </c>
      <c r="J79" s="21">
        <f>SUM('G-高新:G-浙江天硕'!J79)</f>
        <v>0</v>
      </c>
      <c r="K79" s="21">
        <f>SUM('G-高新:G-浙江天硕'!K79)</f>
        <v>0</v>
      </c>
      <c r="L79" s="21">
        <f>SUM('G-高新:G-浙江天硕'!L79)</f>
        <v>0</v>
      </c>
      <c r="M79" s="21">
        <f>SUM('G-高新:G-浙江天硕'!M79)</f>
        <v>0</v>
      </c>
      <c r="N79" s="21">
        <f>SUM('G-高新:G-浙江天硕'!N79)</f>
        <v>0</v>
      </c>
      <c r="O79" s="21">
        <f>SUM('G-高新:G-浙江天硕'!O79)</f>
        <v>0</v>
      </c>
      <c r="P79" s="47">
        <f t="shared" si="1"/>
        <v>233954.914815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f>SUM('G-高新:G-浙江天硕'!D80)</f>
        <v>19657.39</v>
      </c>
      <c r="E80" s="21">
        <f>SUM('G-高新:G-浙江天硕'!E80)</f>
        <v>43519.43</v>
      </c>
      <c r="F80" s="21">
        <f>SUM('G-高新:G-浙江天硕'!F80)</f>
        <v>106947.94</v>
      </c>
      <c r="G80" s="21">
        <f>SUM('G-高新:G-浙江天硕'!G80)</f>
        <v>211073.77</v>
      </c>
      <c r="H80" s="21">
        <f>SUM('G-高新:G-浙江天硕'!H80)</f>
        <v>5.584826</v>
      </c>
      <c r="I80" s="21">
        <f>SUM('G-高新:G-浙江天硕'!I80)</f>
        <v>0</v>
      </c>
      <c r="J80" s="21">
        <f>SUM('G-高新:G-浙江天硕'!J80)</f>
        <v>0</v>
      </c>
      <c r="K80" s="21">
        <f>SUM('G-高新:G-浙江天硕'!K80)</f>
        <v>0</v>
      </c>
      <c r="L80" s="21">
        <f>SUM('G-高新:G-浙江天硕'!L80)</f>
        <v>0</v>
      </c>
      <c r="M80" s="21">
        <f>SUM('G-高新:G-浙江天硕'!M80)</f>
        <v>0</v>
      </c>
      <c r="N80" s="21">
        <f>SUM('G-高新:G-浙江天硕'!N80)</f>
        <v>0</v>
      </c>
      <c r="O80" s="21">
        <f>SUM('G-高新:G-浙江天硕'!O80)</f>
        <v>0</v>
      </c>
      <c r="P80" s="47">
        <f t="shared" si="1"/>
        <v>381204.114826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f>SUM('G-高新:G-浙江天硕'!D81)</f>
        <v>28497.57</v>
      </c>
      <c r="E81" s="21">
        <f>SUM('G-高新:G-浙江天硕'!E81)</f>
        <v>96345.35</v>
      </c>
      <c r="F81" s="21">
        <f>SUM('G-高新:G-浙江天硕'!F81)</f>
        <v>82451.42</v>
      </c>
      <c r="G81" s="21">
        <f>SUM('G-高新:G-浙江天硕'!G81)</f>
        <v>320657.93</v>
      </c>
      <c r="H81" s="21">
        <f>SUM('G-高新:G-浙江天硕'!H81)</f>
        <v>0.237947</v>
      </c>
      <c r="I81" s="21">
        <f>SUM('G-高新:G-浙江天硕'!I81)</f>
        <v>0</v>
      </c>
      <c r="J81" s="21">
        <f>SUM('G-高新:G-浙江天硕'!J81)</f>
        <v>0</v>
      </c>
      <c r="K81" s="21">
        <f>SUM('G-高新:G-浙江天硕'!K81)</f>
        <v>0</v>
      </c>
      <c r="L81" s="21">
        <f>SUM('G-高新:G-浙江天硕'!L81)</f>
        <v>0</v>
      </c>
      <c r="M81" s="21">
        <f>SUM('G-高新:G-浙江天硕'!M81)</f>
        <v>0</v>
      </c>
      <c r="N81" s="21">
        <f>SUM('G-高新:G-浙江天硕'!N81)</f>
        <v>0</v>
      </c>
      <c r="O81" s="21">
        <f>SUM('G-高新:G-浙江天硕'!O81)</f>
        <v>0</v>
      </c>
      <c r="P81" s="47">
        <f t="shared" si="1"/>
        <v>527952.507947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>
        <f>SUM('G-高新:G-浙江天硕'!D82)</f>
        <v>28354.38</v>
      </c>
      <c r="E82" s="21">
        <f>SUM('G-高新:G-浙江天硕'!E82)</f>
        <v>11617.7</v>
      </c>
      <c r="F82" s="21">
        <f>SUM('G-高新:G-浙江天硕'!F82)</f>
        <v>74824.66</v>
      </c>
      <c r="G82" s="21">
        <f>SUM('G-高新:G-浙江天硕'!G82)</f>
        <v>70410</v>
      </c>
      <c r="H82" s="21">
        <f>SUM('G-高新:G-浙江天硕'!H82)</f>
        <v>0.0243279999999999</v>
      </c>
      <c r="I82" s="21">
        <f>SUM('G-高新:G-浙江天硕'!I82)</f>
        <v>0</v>
      </c>
      <c r="J82" s="21">
        <f>SUM('G-高新:G-浙江天硕'!J82)</f>
        <v>0</v>
      </c>
      <c r="K82" s="21">
        <f>SUM('G-高新:G-浙江天硕'!K82)</f>
        <v>0</v>
      </c>
      <c r="L82" s="21">
        <f>SUM('G-高新:G-浙江天硕'!L82)</f>
        <v>0</v>
      </c>
      <c r="M82" s="21">
        <f>SUM('G-高新:G-浙江天硕'!M82)</f>
        <v>0</v>
      </c>
      <c r="N82" s="21">
        <f>SUM('G-高新:G-浙江天硕'!N82)</f>
        <v>0</v>
      </c>
      <c r="O82" s="21">
        <f>SUM('G-高新:G-浙江天硕'!O82)</f>
        <v>0</v>
      </c>
      <c r="P82" s="47">
        <f t="shared" si="1"/>
        <v>185206.764328</v>
      </c>
    </row>
    <row r="83" s="5" customFormat="1" ht="17.25" customHeight="1" spans="1:16">
      <c r="A83" s="224"/>
      <c r="B83" s="24"/>
      <c r="C83" s="25" t="s">
        <v>165</v>
      </c>
      <c r="D83" s="21">
        <f>SUM('G-高新:G-浙江天硕'!D83)</f>
        <v>247138.72</v>
      </c>
      <c r="E83" s="21">
        <f>SUM('G-高新:G-浙江天硕'!E83)</f>
        <v>289990.42</v>
      </c>
      <c r="F83" s="21">
        <f>SUM('G-高新:G-浙江天硕'!F83)</f>
        <v>372668.31</v>
      </c>
      <c r="G83" s="21">
        <f>SUM('G-高新:G-浙江天硕'!G83)</f>
        <v>1432450.32</v>
      </c>
      <c r="H83" s="21">
        <f>SUM('G-高新:G-浙江天硕'!H83)</f>
        <v>105.732421</v>
      </c>
      <c r="I83" s="21">
        <f>SUM('G-高新:G-浙江天硕'!I83)</f>
        <v>0</v>
      </c>
      <c r="J83" s="21">
        <f>SUM('G-高新:G-浙江天硕'!J83)</f>
        <v>0</v>
      </c>
      <c r="K83" s="21">
        <f>SUM('G-高新:G-浙江天硕'!K83)</f>
        <v>0</v>
      </c>
      <c r="L83" s="21">
        <f>SUM('G-高新:G-浙江天硕'!L83)</f>
        <v>0</v>
      </c>
      <c r="M83" s="21">
        <f>SUM('G-高新:G-浙江天硕'!M83)</f>
        <v>0</v>
      </c>
      <c r="N83" s="21">
        <f>SUM('G-高新:G-浙江天硕'!N83)</f>
        <v>0</v>
      </c>
      <c r="O83" s="21">
        <f>SUM('G-高新:G-浙江天硕'!O83)</f>
        <v>0</v>
      </c>
      <c r="P83" s="47">
        <f t="shared" si="1"/>
        <v>2342353.502421</v>
      </c>
    </row>
    <row r="84" s="5" customFormat="1" ht="17.25" customHeight="1" spans="1:16">
      <c r="A84" s="224"/>
      <c r="B84" s="23"/>
      <c r="C84" s="25" t="s">
        <v>166</v>
      </c>
      <c r="D84" s="21">
        <f>SUM('G-高新:G-浙江天硕'!D84)</f>
        <v>0</v>
      </c>
      <c r="E84" s="21">
        <f>SUM('G-高新:G-浙江天硕'!E84)</f>
        <v>0</v>
      </c>
      <c r="F84" s="21">
        <f>SUM('G-高新:G-浙江天硕'!F84)</f>
        <v>0</v>
      </c>
      <c r="G84" s="21">
        <f>SUM('G-高新:G-浙江天硕'!G84)</f>
        <v>0</v>
      </c>
      <c r="H84" s="21">
        <f>SUM('G-高新:G-浙江天硕'!H84)</f>
        <v>0</v>
      </c>
      <c r="I84" s="21">
        <f>SUM('G-高新:G-浙江天硕'!I84)</f>
        <v>0</v>
      </c>
      <c r="J84" s="21">
        <f>SUM('G-高新:G-浙江天硕'!J84)</f>
        <v>0</v>
      </c>
      <c r="K84" s="21">
        <f>SUM('G-高新:G-浙江天硕'!K84)</f>
        <v>0</v>
      </c>
      <c r="L84" s="21">
        <f>SUM('G-高新:G-浙江天硕'!L84)</f>
        <v>0</v>
      </c>
      <c r="M84" s="21">
        <f>SUM('G-高新:G-浙江天硕'!M84)</f>
        <v>0</v>
      </c>
      <c r="N84" s="21">
        <f>SUM('G-高新:G-浙江天硕'!N84)</f>
        <v>0</v>
      </c>
      <c r="O84" s="21">
        <f>SUM('G-高新:G-浙江天硕'!O84)</f>
        <v>0</v>
      </c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>
        <f>SUM('G-高新:G-浙江天硕'!D85)</f>
        <v>20898</v>
      </c>
      <c r="E85" s="21">
        <f>SUM('G-高新:G-浙江天硕'!E85)</f>
        <v>8810</v>
      </c>
      <c r="F85" s="21">
        <f>SUM('G-高新:G-浙江天硕'!F85)</f>
        <v>13638.38</v>
      </c>
      <c r="G85" s="21">
        <f>SUM('G-高新:G-浙江天硕'!G85)</f>
        <v>21631</v>
      </c>
      <c r="H85" s="21">
        <f>SUM('G-高新:G-浙江天硕'!H85)</f>
        <v>0</v>
      </c>
      <c r="I85" s="21">
        <f>SUM('G-高新:G-浙江天硕'!I85)</f>
        <v>0</v>
      </c>
      <c r="J85" s="21">
        <f>SUM('G-高新:G-浙江天硕'!J85)</f>
        <v>0</v>
      </c>
      <c r="K85" s="21">
        <f>SUM('G-高新:G-浙江天硕'!K85)</f>
        <v>0</v>
      </c>
      <c r="L85" s="21">
        <f>SUM('G-高新:G-浙江天硕'!L85)</f>
        <v>0</v>
      </c>
      <c r="M85" s="21">
        <f>SUM('G-高新:G-浙江天硕'!M85)</f>
        <v>0</v>
      </c>
      <c r="N85" s="21">
        <f>SUM('G-高新:G-浙江天硕'!N85)</f>
        <v>0</v>
      </c>
      <c r="O85" s="21">
        <f>SUM('G-高新:G-浙江天硕'!O85)</f>
        <v>0</v>
      </c>
      <c r="P85" s="47">
        <f t="shared" si="1"/>
        <v>64977.38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>
        <f>SUM('G-高新:G-浙江天硕'!D86)</f>
        <v>0</v>
      </c>
      <c r="E86" s="21">
        <f>SUM('G-高新:G-浙江天硕'!E86)</f>
        <v>0</v>
      </c>
      <c r="F86" s="21">
        <f>SUM('G-高新:G-浙江天硕'!F86)</f>
        <v>0</v>
      </c>
      <c r="G86" s="21">
        <f>SUM('G-高新:G-浙江天硕'!G86)</f>
        <v>124739.62</v>
      </c>
      <c r="H86" s="21">
        <f>SUM('G-高新:G-浙江天硕'!H86)</f>
        <v>0</v>
      </c>
      <c r="I86" s="21">
        <f>SUM('G-高新:G-浙江天硕'!I86)</f>
        <v>0</v>
      </c>
      <c r="J86" s="21">
        <f>SUM('G-高新:G-浙江天硕'!J86)</f>
        <v>0</v>
      </c>
      <c r="K86" s="21">
        <f>SUM('G-高新:G-浙江天硕'!K86)</f>
        <v>0</v>
      </c>
      <c r="L86" s="21">
        <f>SUM('G-高新:G-浙江天硕'!L86)</f>
        <v>0</v>
      </c>
      <c r="M86" s="21">
        <f>SUM('G-高新:G-浙江天硕'!M86)</f>
        <v>0</v>
      </c>
      <c r="N86" s="21">
        <f>SUM('G-高新:G-浙江天硕'!N86)</f>
        <v>0</v>
      </c>
      <c r="O86" s="21">
        <f>SUM('G-高新:G-浙江天硕'!O86)</f>
        <v>0</v>
      </c>
      <c r="P86" s="47">
        <f t="shared" si="1"/>
        <v>124739.62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>
        <f>SUM('G-高新:G-浙江天硕'!D87)</f>
        <v>0</v>
      </c>
      <c r="E87" s="21">
        <f>SUM('G-高新:G-浙江天硕'!E87)</f>
        <v>5660.38</v>
      </c>
      <c r="F87" s="21">
        <f>SUM('G-高新:G-浙江天硕'!F87)</f>
        <v>0</v>
      </c>
      <c r="G87" s="21">
        <f>SUM('G-高新:G-浙江天硕'!G87)</f>
        <v>397</v>
      </c>
      <c r="H87" s="21">
        <f>SUM('G-高新:G-浙江天硕'!H87)</f>
        <v>0</v>
      </c>
      <c r="I87" s="21">
        <f>SUM('G-高新:G-浙江天硕'!I87)</f>
        <v>0</v>
      </c>
      <c r="J87" s="21">
        <f>SUM('G-高新:G-浙江天硕'!J87)</f>
        <v>0</v>
      </c>
      <c r="K87" s="21">
        <f>SUM('G-高新:G-浙江天硕'!K87)</f>
        <v>0</v>
      </c>
      <c r="L87" s="21">
        <f>SUM('G-高新:G-浙江天硕'!L87)</f>
        <v>0</v>
      </c>
      <c r="M87" s="21">
        <f>SUM('G-高新:G-浙江天硕'!M87)</f>
        <v>0</v>
      </c>
      <c r="N87" s="21">
        <f>SUM('G-高新:G-浙江天硕'!N87)</f>
        <v>0</v>
      </c>
      <c r="O87" s="21">
        <f>SUM('G-高新:G-浙江天硕'!O87)</f>
        <v>0</v>
      </c>
      <c r="P87" s="47">
        <f t="shared" si="1"/>
        <v>6057.38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>
        <f>SUM('G-高新:G-浙江天硕'!D88)</f>
        <v>0</v>
      </c>
      <c r="E88" s="21">
        <f>SUM('G-高新:G-浙江天硕'!E88)</f>
        <v>0</v>
      </c>
      <c r="F88" s="21">
        <f>SUM('G-高新:G-浙江天硕'!F88)</f>
        <v>3107.93</v>
      </c>
      <c r="G88" s="21">
        <f>SUM('G-高新:G-浙江天硕'!G88)</f>
        <v>0</v>
      </c>
      <c r="H88" s="21">
        <f>SUM('G-高新:G-浙江天硕'!H88)</f>
        <v>0</v>
      </c>
      <c r="I88" s="21">
        <f>SUM('G-高新:G-浙江天硕'!I88)</f>
        <v>0</v>
      </c>
      <c r="J88" s="21">
        <f>SUM('G-高新:G-浙江天硕'!J88)</f>
        <v>0</v>
      </c>
      <c r="K88" s="21">
        <f>SUM('G-高新:G-浙江天硕'!K88)</f>
        <v>0</v>
      </c>
      <c r="L88" s="21">
        <f>SUM('G-高新:G-浙江天硕'!L88)</f>
        <v>0</v>
      </c>
      <c r="M88" s="21">
        <f>SUM('G-高新:G-浙江天硕'!M88)</f>
        <v>0</v>
      </c>
      <c r="N88" s="21">
        <f>SUM('G-高新:G-浙江天硕'!N88)</f>
        <v>0</v>
      </c>
      <c r="O88" s="21">
        <f>SUM('G-高新:G-浙江天硕'!O88)</f>
        <v>0</v>
      </c>
      <c r="P88" s="47">
        <f t="shared" si="1"/>
        <v>3107.93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>
        <f>SUM('G-高新:G-浙江天硕'!D89)</f>
        <v>242120.48</v>
      </c>
      <c r="E89" s="21">
        <f>SUM('G-高新:G-浙江天硕'!E89)</f>
        <v>-25614.82</v>
      </c>
      <c r="F89" s="21">
        <f>SUM('G-高新:G-浙江天硕'!F89)</f>
        <v>32527.12</v>
      </c>
      <c r="G89" s="21">
        <f>SUM('G-高新:G-浙江天硕'!G89)</f>
        <v>31364.79</v>
      </c>
      <c r="H89" s="21">
        <f>SUM('G-高新:G-浙江天硕'!H89)</f>
        <v>0</v>
      </c>
      <c r="I89" s="21">
        <f>SUM('G-高新:G-浙江天硕'!I89)</f>
        <v>0</v>
      </c>
      <c r="J89" s="21">
        <f>SUM('G-高新:G-浙江天硕'!J89)</f>
        <v>0</v>
      </c>
      <c r="K89" s="21">
        <f>SUM('G-高新:G-浙江天硕'!K89)</f>
        <v>0</v>
      </c>
      <c r="L89" s="21">
        <f>SUM('G-高新:G-浙江天硕'!L89)</f>
        <v>0</v>
      </c>
      <c r="M89" s="21">
        <f>SUM('G-高新:G-浙江天硕'!M89)</f>
        <v>0</v>
      </c>
      <c r="N89" s="21">
        <f>SUM('G-高新:G-浙江天硕'!N89)</f>
        <v>0</v>
      </c>
      <c r="O89" s="21">
        <f>SUM('G-高新:G-浙江天硕'!O89)</f>
        <v>0</v>
      </c>
      <c r="P89" s="47">
        <f t="shared" si="1"/>
        <v>280397.57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>
        <f>SUM('G-高新:G-浙江天硕'!D90)</f>
        <v>0</v>
      </c>
      <c r="E90" s="21">
        <f>SUM('G-高新:G-浙江天硕'!E90)</f>
        <v>0</v>
      </c>
      <c r="F90" s="21">
        <f>SUM('G-高新:G-浙江天硕'!F90)</f>
        <v>0</v>
      </c>
      <c r="G90" s="21">
        <f>SUM('G-高新:G-浙江天硕'!G90)</f>
        <v>0</v>
      </c>
      <c r="H90" s="21">
        <f>SUM('G-高新:G-浙江天硕'!H90)</f>
        <v>0</v>
      </c>
      <c r="I90" s="21">
        <f>SUM('G-高新:G-浙江天硕'!I90)</f>
        <v>0</v>
      </c>
      <c r="J90" s="21">
        <f>SUM('G-高新:G-浙江天硕'!J90)</f>
        <v>0</v>
      </c>
      <c r="K90" s="21">
        <f>SUM('G-高新:G-浙江天硕'!K90)</f>
        <v>0</v>
      </c>
      <c r="L90" s="21">
        <f>SUM('G-高新:G-浙江天硕'!L90)</f>
        <v>0</v>
      </c>
      <c r="M90" s="21">
        <f>SUM('G-高新:G-浙江天硕'!M90)</f>
        <v>0</v>
      </c>
      <c r="N90" s="21">
        <f>SUM('G-高新:G-浙江天硕'!N90)</f>
        <v>0</v>
      </c>
      <c r="O90" s="21">
        <f>SUM('G-高新:G-浙江天硕'!O90)</f>
        <v>0</v>
      </c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>
        <f>SUM('G-高新:G-浙江天硕'!D91)</f>
        <v>7943882.11</v>
      </c>
      <c r="E91" s="21">
        <f>SUM('G-高新:G-浙江天硕'!E91)</f>
        <v>6252406.15</v>
      </c>
      <c r="F91" s="21">
        <f>SUM('G-高新:G-浙江天硕'!F91)</f>
        <v>11576133.49</v>
      </c>
      <c r="G91" s="21">
        <f>SUM('G-高新:G-浙江天硕'!G91)</f>
        <v>14041759.18</v>
      </c>
      <c r="H91" s="21">
        <f>SUM('G-高新:G-浙江天硕'!H91)</f>
        <v>51.365959</v>
      </c>
      <c r="I91" s="21">
        <f>SUM('G-高新:G-浙江天硕'!I91)</f>
        <v>0</v>
      </c>
      <c r="J91" s="21">
        <f>SUM('G-高新:G-浙江天硕'!J91)</f>
        <v>0</v>
      </c>
      <c r="K91" s="21">
        <f>SUM('G-高新:G-浙江天硕'!K91)</f>
        <v>0</v>
      </c>
      <c r="L91" s="21">
        <f>SUM('G-高新:G-浙江天硕'!L91)</f>
        <v>0</v>
      </c>
      <c r="M91" s="21">
        <f>SUM('G-高新:G-浙江天硕'!M91)</f>
        <v>0</v>
      </c>
      <c r="N91" s="21">
        <f>SUM('G-高新:G-浙江天硕'!N91)</f>
        <v>0</v>
      </c>
      <c r="O91" s="21">
        <f>SUM('G-高新:G-浙江天硕'!O91)</f>
        <v>0</v>
      </c>
      <c r="P91" s="47">
        <f t="shared" si="1"/>
        <v>39814232.295959</v>
      </c>
    </row>
    <row r="92" s="5" customFormat="1" ht="17.25" customHeight="1" spans="1:16">
      <c r="A92" s="231"/>
      <c r="B92" s="26" t="s">
        <v>83</v>
      </c>
      <c r="C92" s="207" t="s">
        <v>83</v>
      </c>
      <c r="D92" s="21">
        <f>SUM('G-高新:G-浙江天硕'!D92)</f>
        <v>208144.08</v>
      </c>
      <c r="E92" s="21">
        <f>SUM('G-高新:G-浙江天硕'!E92)</f>
        <v>11546.28</v>
      </c>
      <c r="F92" s="21">
        <f>SUM('G-高新:G-浙江天硕'!F92)</f>
        <v>170213.82</v>
      </c>
      <c r="G92" s="21">
        <f>SUM('G-高新:G-浙江天硕'!G92)</f>
        <v>526440.69</v>
      </c>
      <c r="H92" s="21">
        <f>SUM('G-高新:G-浙江天硕'!H92)</f>
        <v>23.534529</v>
      </c>
      <c r="I92" s="21">
        <f>SUM('G-高新:G-浙江天硕'!I92)</f>
        <v>0</v>
      </c>
      <c r="J92" s="21">
        <f>SUM('G-高新:G-浙江天硕'!J92)</f>
        <v>0</v>
      </c>
      <c r="K92" s="21">
        <f>SUM('G-高新:G-浙江天硕'!K92)</f>
        <v>0</v>
      </c>
      <c r="L92" s="21">
        <f>SUM('G-高新:G-浙江天硕'!L92)</f>
        <v>0</v>
      </c>
      <c r="M92" s="21">
        <f>SUM('G-高新:G-浙江天硕'!M92)</f>
        <v>0</v>
      </c>
      <c r="N92" s="21">
        <f>SUM('G-高新:G-浙江天硕'!N92)</f>
        <v>0</v>
      </c>
      <c r="O92" s="21">
        <f>SUM('G-高新:G-浙江天硕'!O92)</f>
        <v>0</v>
      </c>
      <c r="P92" s="47">
        <f t="shared" si="1"/>
        <v>916368.404529</v>
      </c>
    </row>
    <row r="93" s="7" customFormat="1" ht="24.75" customHeight="1" spans="1:16">
      <c r="A93" s="232" t="s">
        <v>12</v>
      </c>
      <c r="B93" s="233"/>
      <c r="C93" s="234"/>
      <c r="D93" s="58">
        <f>SUM(D6:D92)</f>
        <v>20055864.05</v>
      </c>
      <c r="E93" s="58">
        <f t="shared" ref="E93:O93" si="2">SUM(E6:E92)</f>
        <v>22736880.44</v>
      </c>
      <c r="F93" s="58">
        <f t="shared" si="2"/>
        <v>30326903.36</v>
      </c>
      <c r="G93" s="58">
        <f t="shared" ref="G93" si="3">SUM(G6:G92)</f>
        <v>35376117.05</v>
      </c>
      <c r="H93" s="58">
        <f t="shared" si="2"/>
        <v>423097.339771</v>
      </c>
      <c r="I93" s="58">
        <f t="shared" si="2"/>
        <v>422671.96</v>
      </c>
      <c r="J93" s="58">
        <f t="shared" si="2"/>
        <v>422671.96</v>
      </c>
      <c r="K93" s="58">
        <f t="shared" si="2"/>
        <v>422671.96</v>
      </c>
      <c r="L93" s="58">
        <f t="shared" si="2"/>
        <v>422671.96</v>
      </c>
      <c r="M93" s="58">
        <f t="shared" si="2"/>
        <v>422671.96</v>
      </c>
      <c r="N93" s="58">
        <f t="shared" si="2"/>
        <v>422671.96</v>
      </c>
      <c r="O93" s="58">
        <f t="shared" si="2"/>
        <v>422671.96</v>
      </c>
      <c r="P93" s="58">
        <f t="shared" ref="P93" si="4">SUM(P6:P92)</f>
        <v>111877565.959771</v>
      </c>
    </row>
    <row r="94" s="7" customFormat="1" ht="24.75" customHeight="1" spans="1:16">
      <c r="A94" s="252" t="s">
        <v>176</v>
      </c>
      <c r="B94" s="253"/>
      <c r="C94" s="254"/>
      <c r="D94" s="21">
        <f>SUM('G-高新:G-浙江天硕'!D94)</f>
        <v>1660362.95</v>
      </c>
      <c r="E94" s="21">
        <f>SUM('G-高新:G-浙江天硕'!E94)</f>
        <v>1822743.36</v>
      </c>
      <c r="F94" s="21">
        <f>SUM('G-高新:G-浙江天硕'!F94)</f>
        <v>3955063.845</v>
      </c>
      <c r="G94" s="21">
        <f>SUM('G-高新:G-浙江天硕'!G94)</f>
        <v>3339902.73000001</v>
      </c>
      <c r="H94" s="21">
        <f>SUM('G-高新:G-浙江天硕'!H94)</f>
        <v>0</v>
      </c>
      <c r="I94" s="21">
        <f>SUM('G-高新:G-浙江天硕'!I94)</f>
        <v>0</v>
      </c>
      <c r="J94" s="21">
        <f>SUM('G-高新:G-浙江天硕'!J94)</f>
        <v>0</v>
      </c>
      <c r="K94" s="21">
        <f>SUM('G-高新:G-浙江天硕'!K94)</f>
        <v>0</v>
      </c>
      <c r="L94" s="21">
        <f>SUM('G-高新:G-浙江天硕'!L94)</f>
        <v>0</v>
      </c>
      <c r="M94" s="21">
        <f>SUM('G-高新:G-浙江天硕'!M94)</f>
        <v>0</v>
      </c>
      <c r="N94" s="21">
        <f>SUM('G-高新:G-浙江天硕'!N94)</f>
        <v>0</v>
      </c>
      <c r="O94" s="21">
        <f>SUM('G-高新:G-浙江天硕'!O94)</f>
        <v>0</v>
      </c>
      <c r="P94" s="47">
        <f>SUM(D94:O94)</f>
        <v>10778072.885</v>
      </c>
    </row>
    <row r="95" s="7" customFormat="1" ht="24.75" customHeight="1" spans="1:16">
      <c r="A95" s="252" t="s">
        <v>177</v>
      </c>
      <c r="B95" s="253"/>
      <c r="C95" s="254"/>
      <c r="D95" s="21">
        <f>SUM('G-高新:G-浙江天硕'!D95)</f>
        <v>1519779.31</v>
      </c>
      <c r="E95" s="21">
        <f>SUM('G-高新:G-浙江天硕'!E95)</f>
        <v>1303223.63</v>
      </c>
      <c r="F95" s="21">
        <f>SUM('G-高新:G-浙江天硕'!F95)</f>
        <v>1841083.275</v>
      </c>
      <c r="G95" s="21">
        <f>SUM('G-高新:G-浙江天硕'!G95)</f>
        <v>2508852.18000001</v>
      </c>
      <c r="H95" s="21">
        <f>SUM('G-高新:G-浙江天硕'!H95)</f>
        <v>0</v>
      </c>
      <c r="I95" s="21">
        <f>SUM('G-高新:G-浙江天硕'!I95)</f>
        <v>0</v>
      </c>
      <c r="J95" s="21">
        <f>SUM('G-高新:G-浙江天硕'!J95)</f>
        <v>0</v>
      </c>
      <c r="K95" s="21">
        <f>SUM('G-高新:G-浙江天硕'!K95)</f>
        <v>0</v>
      </c>
      <c r="L95" s="21">
        <f>SUM('G-高新:G-浙江天硕'!L95)</f>
        <v>0</v>
      </c>
      <c r="M95" s="21">
        <f>SUM('G-高新:G-浙江天硕'!M95)</f>
        <v>0</v>
      </c>
      <c r="N95" s="21">
        <f>SUM('G-高新:G-浙江天硕'!N95)</f>
        <v>0</v>
      </c>
      <c r="O95" s="21">
        <f>SUM('G-高新:G-浙江天硕'!O95)</f>
        <v>0</v>
      </c>
      <c r="P95" s="47">
        <f t="shared" si="1"/>
        <v>7172938.39500001</v>
      </c>
    </row>
    <row r="96" s="280" customFormat="1" ht="24.75" customHeight="1" spans="1:16">
      <c r="A96" s="286" t="s">
        <v>178</v>
      </c>
      <c r="B96" s="287"/>
      <c r="C96" s="288"/>
      <c r="D96" s="170">
        <f>SUM('G-高新:G-浙江天硕'!D96)+D141</f>
        <v>6053645.63</v>
      </c>
      <c r="E96" s="170">
        <f>SUM('G-高新:G-浙江天硕'!E96)+E141</f>
        <v>9447382</v>
      </c>
      <c r="F96" s="170">
        <f>SUM('G-高新:G-浙江天硕'!F96)+F141</f>
        <v>15933888.95</v>
      </c>
      <c r="G96" s="170">
        <f>SUM('G-高新:G-浙江天硕'!G96)+G141</f>
        <v>20164398.65</v>
      </c>
      <c r="H96" s="170">
        <f>SUM('G-高新:G-浙江天硕'!H96)+H141</f>
        <v>176501.04</v>
      </c>
      <c r="I96" s="170">
        <f>SUM('G-高新:G-浙江天硕'!I96)+I141</f>
        <v>176501.04</v>
      </c>
      <c r="J96" s="170">
        <f>SUM('G-高新:G-浙江天硕'!J96)+J141</f>
        <v>176501.04</v>
      </c>
      <c r="K96" s="170">
        <f>SUM('G-高新:G-浙江天硕'!K96)+K141</f>
        <v>176501.04</v>
      </c>
      <c r="L96" s="170">
        <f>SUM('G-高新:G-浙江天硕'!L96)+L141</f>
        <v>176501.04</v>
      </c>
      <c r="M96" s="170">
        <f>SUM('G-高新:G-浙江天硕'!M96)+M141</f>
        <v>176501.04</v>
      </c>
      <c r="N96" s="170">
        <f>SUM('G-高新:G-浙江天硕'!N96)+N141</f>
        <v>176501.04</v>
      </c>
      <c r="O96" s="170">
        <f>SUM('G-高新:G-浙江天硕'!O96)+O141</f>
        <v>176501.04</v>
      </c>
      <c r="P96" s="180">
        <f t="shared" si="1"/>
        <v>53011323.55</v>
      </c>
    </row>
    <row r="97" s="7" customFormat="1" ht="24.75" customHeight="1" spans="1:16">
      <c r="A97" s="252" t="s">
        <v>179</v>
      </c>
      <c r="B97" s="253"/>
      <c r="C97" s="254"/>
      <c r="D97" s="21">
        <f>SUM('G-高新:G-浙江天硕'!D97)</f>
        <v>261091.36</v>
      </c>
      <c r="E97" s="21">
        <f>SUM('G-高新:G-浙江天硕'!E97)</f>
        <v>-152633.18</v>
      </c>
      <c r="F97" s="21">
        <f>SUM('G-高新:G-浙江天硕'!F97)</f>
        <v>68585.1800000001</v>
      </c>
      <c r="G97" s="21">
        <f>SUM('G-高新:G-浙江天硕'!G97)</f>
        <v>79831.7099999998</v>
      </c>
      <c r="H97" s="21">
        <f>SUM('G-高新:G-浙江天硕'!H97)</f>
        <v>0</v>
      </c>
      <c r="I97" s="21">
        <f>SUM('G-高新:G-浙江天硕'!I97)</f>
        <v>0</v>
      </c>
      <c r="J97" s="21">
        <f>SUM('G-高新:G-浙江天硕'!J97)</f>
        <v>0</v>
      </c>
      <c r="K97" s="21">
        <f>SUM('G-高新:G-浙江天硕'!K97)</f>
        <v>0</v>
      </c>
      <c r="L97" s="21">
        <f>SUM('G-高新:G-浙江天硕'!L97)</f>
        <v>0</v>
      </c>
      <c r="M97" s="21">
        <f>SUM('G-高新:G-浙江天硕'!M97)</f>
        <v>0</v>
      </c>
      <c r="N97" s="21">
        <f>SUM('G-高新:G-浙江天硕'!N97)</f>
        <v>0</v>
      </c>
      <c r="O97" s="21">
        <f>SUM('G-高新:G-浙江天硕'!O97)</f>
        <v>0</v>
      </c>
      <c r="P97" s="47">
        <f t="shared" si="1"/>
        <v>256875.07</v>
      </c>
    </row>
    <row r="98" s="280" customFormat="1" ht="24.75" customHeight="1" spans="1:16">
      <c r="A98" s="286" t="s">
        <v>180</v>
      </c>
      <c r="B98" s="287"/>
      <c r="C98" s="288"/>
      <c r="D98" s="170">
        <f>SUM('G-高新:G-浙江天硕'!D98)+D142</f>
        <v>10560984.8</v>
      </c>
      <c r="E98" s="170">
        <f>SUM('G-高新:G-浙江天硕'!E98)+E142</f>
        <v>10316164.63</v>
      </c>
      <c r="F98" s="170">
        <f>SUM('G-高新:G-浙江天硕'!F98)+F142</f>
        <v>8528282.11000001</v>
      </c>
      <c r="G98" s="170">
        <f>SUM('G-高新:G-浙江天硕'!G98)+G142</f>
        <v>9283131.78000001</v>
      </c>
      <c r="H98" s="170">
        <f>SUM('G-高新:G-浙江天硕'!H98)+H142</f>
        <v>246170.92</v>
      </c>
      <c r="I98" s="170">
        <f>SUM('G-高新:G-浙江天硕'!I98)+I142</f>
        <v>246170.92</v>
      </c>
      <c r="J98" s="170">
        <f>SUM('G-高新:G-浙江天硕'!J98)+J142</f>
        <v>246170.92</v>
      </c>
      <c r="K98" s="170">
        <f>SUM('G-高新:G-浙江天硕'!K98)+K142</f>
        <v>246170.92</v>
      </c>
      <c r="L98" s="170">
        <f>SUM('G-高新:G-浙江天硕'!L98)+L142</f>
        <v>246170.92</v>
      </c>
      <c r="M98" s="170">
        <f>SUM('G-高新:G-浙江天硕'!M98)+M142</f>
        <v>246170.92</v>
      </c>
      <c r="N98" s="170">
        <f>SUM('G-高新:G-浙江天硕'!N98)+N142</f>
        <v>246170.92</v>
      </c>
      <c r="O98" s="170">
        <f>SUM('G-高新:G-浙江天硕'!O98)+O142</f>
        <v>246170.92</v>
      </c>
      <c r="P98" s="180">
        <f t="shared" si="1"/>
        <v>40657930.68</v>
      </c>
    </row>
    <row r="99" s="190" customFormat="1" ht="19.5" customHeight="1" spans="1:7">
      <c r="A99" s="190" t="s">
        <v>181</v>
      </c>
      <c r="E99" s="6"/>
      <c r="F99" s="238"/>
      <c r="G99" s="299"/>
    </row>
    <row r="100" spans="6:8">
      <c r="F100" s="101"/>
      <c r="G100" s="80"/>
      <c r="H100" s="68"/>
    </row>
    <row r="101" s="6" customFormat="1" customHeight="1" spans="4:16"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</row>
    <row r="102" spans="4:16">
      <c r="D102" s="68">
        <f t="shared" ref="D102:P102" si="5">SUM(D94:D98)-D93</f>
        <v>0</v>
      </c>
      <c r="E102" s="68">
        <f t="shared" si="5"/>
        <v>0</v>
      </c>
      <c r="F102" s="68">
        <f t="shared" si="5"/>
        <v>0</v>
      </c>
      <c r="G102" s="68">
        <f t="shared" si="5"/>
        <v>0</v>
      </c>
      <c r="H102" s="68">
        <f t="shared" si="5"/>
        <v>-425.379771000007</v>
      </c>
      <c r="I102" s="68">
        <f t="shared" si="5"/>
        <v>0</v>
      </c>
      <c r="J102" s="68">
        <f t="shared" si="5"/>
        <v>0</v>
      </c>
      <c r="K102" s="80">
        <f t="shared" si="5"/>
        <v>0</v>
      </c>
      <c r="L102" s="68">
        <f t="shared" si="5"/>
        <v>0</v>
      </c>
      <c r="M102" s="68">
        <f t="shared" si="5"/>
        <v>0</v>
      </c>
      <c r="N102" s="68">
        <f t="shared" si="5"/>
        <v>0</v>
      </c>
      <c r="O102" s="68">
        <f t="shared" si="5"/>
        <v>0</v>
      </c>
      <c r="P102" s="68">
        <f t="shared" si="5"/>
        <v>-425.379770964384</v>
      </c>
    </row>
    <row r="104" spans="3:16">
      <c r="C104" s="6" t="s">
        <v>182</v>
      </c>
      <c r="D104" s="101">
        <v>20055864.05</v>
      </c>
      <c r="E104" s="266">
        <v>22736880.44</v>
      </c>
      <c r="F104" s="266">
        <v>30326903.36</v>
      </c>
      <c r="G104" s="101"/>
      <c r="L104" s="80"/>
      <c r="M104" s="80"/>
      <c r="N104" s="96"/>
      <c r="O104" s="96"/>
      <c r="P104" s="80"/>
    </row>
    <row r="105" s="6" customFormat="1" ht="12" spans="3:16">
      <c r="C105" s="6" t="s">
        <v>183</v>
      </c>
      <c r="D105" s="241">
        <f>D93-D104</f>
        <v>0</v>
      </c>
      <c r="E105" s="241">
        <f>E93-E104</f>
        <v>0</v>
      </c>
      <c r="F105" s="241">
        <f>F93-F104</f>
        <v>0</v>
      </c>
      <c r="G105" s="241"/>
      <c r="H105" s="241"/>
      <c r="I105" s="241"/>
      <c r="J105" s="241"/>
      <c r="K105" s="241"/>
      <c r="L105" s="241"/>
      <c r="M105" s="241"/>
      <c r="N105" s="241"/>
      <c r="O105" s="241"/>
      <c r="P105" s="101"/>
    </row>
    <row r="106" s="6" customFormat="1" ht="12" spans="4:16">
      <c r="D106" s="241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241"/>
      <c r="P106" s="101"/>
    </row>
    <row r="107" spans="3:16">
      <c r="C107" s="104" t="s">
        <v>11</v>
      </c>
      <c r="D107" s="326">
        <f>D5</f>
        <v>43831</v>
      </c>
      <c r="E107" s="326">
        <f t="shared" ref="E107:O107" si="6">E5</f>
        <v>43862</v>
      </c>
      <c r="F107" s="326">
        <f t="shared" si="6"/>
        <v>43891</v>
      </c>
      <c r="G107" s="326">
        <f t="shared" si="6"/>
        <v>43922</v>
      </c>
      <c r="H107" s="326">
        <f t="shared" si="6"/>
        <v>43952</v>
      </c>
      <c r="I107" s="326">
        <f t="shared" si="6"/>
        <v>43983</v>
      </c>
      <c r="J107" s="326">
        <f t="shared" si="6"/>
        <v>44013</v>
      </c>
      <c r="K107" s="326">
        <f t="shared" si="6"/>
        <v>44044</v>
      </c>
      <c r="L107" s="326">
        <f t="shared" si="6"/>
        <v>44075</v>
      </c>
      <c r="M107" s="326">
        <f t="shared" si="6"/>
        <v>44105</v>
      </c>
      <c r="N107" s="326">
        <f t="shared" si="6"/>
        <v>44136</v>
      </c>
      <c r="O107" s="326">
        <f t="shared" si="6"/>
        <v>44166</v>
      </c>
      <c r="P107" s="327" t="s">
        <v>12</v>
      </c>
    </row>
    <row r="108" spans="3:16">
      <c r="C108" s="104"/>
      <c r="D108" s="105" t="s">
        <v>46</v>
      </c>
      <c r="E108" s="105" t="s">
        <v>47</v>
      </c>
      <c r="F108" s="105" t="s">
        <v>48</v>
      </c>
      <c r="G108" s="105" t="s">
        <v>49</v>
      </c>
      <c r="H108" s="105" t="s">
        <v>50</v>
      </c>
      <c r="I108" s="105" t="s">
        <v>51</v>
      </c>
      <c r="J108" s="105" t="s">
        <v>52</v>
      </c>
      <c r="K108" s="105" t="s">
        <v>53</v>
      </c>
      <c r="L108" s="105" t="s">
        <v>54</v>
      </c>
      <c r="M108" s="105" t="s">
        <v>55</v>
      </c>
      <c r="N108" s="105" t="s">
        <v>56</v>
      </c>
      <c r="O108" s="105" t="s">
        <v>57</v>
      </c>
      <c r="P108" s="292"/>
    </row>
    <row r="109" ht="15.95" customHeight="1" spans="2:16">
      <c r="B109" s="68"/>
      <c r="C109" s="106" t="s">
        <v>184</v>
      </c>
      <c r="D109" s="107">
        <f ca="1">IFERROR(INDIRECT("'"&amp;$C109&amp;"'"&amp;"!"&amp;D$108&amp;"93"),"")</f>
        <v>7769944.11</v>
      </c>
      <c r="E109" s="107">
        <f ca="1" t="shared" ref="E109:O109" si="7">IFERROR(INDIRECT("'"&amp;$C109&amp;"'"&amp;"!"&amp;E$108&amp;"93"),"")</f>
        <v>7077134.01</v>
      </c>
      <c r="F109" s="107">
        <f ca="1" t="shared" si="7"/>
        <v>9237487.95</v>
      </c>
      <c r="G109" s="107">
        <f ca="1" t="shared" si="7"/>
        <v>10083254.16</v>
      </c>
      <c r="H109" s="107">
        <f ca="1" t="shared" si="7"/>
        <v>0</v>
      </c>
      <c r="I109" s="107">
        <f ca="1" t="shared" si="7"/>
        <v>0</v>
      </c>
      <c r="J109" s="107">
        <f ca="1" t="shared" si="7"/>
        <v>0</v>
      </c>
      <c r="K109" s="107">
        <f ca="1" t="shared" si="7"/>
        <v>0</v>
      </c>
      <c r="L109" s="107">
        <f ca="1" t="shared" si="7"/>
        <v>0</v>
      </c>
      <c r="M109" s="107">
        <f ca="1" t="shared" si="7"/>
        <v>0</v>
      </c>
      <c r="N109" s="107">
        <f ca="1" t="shared" si="7"/>
        <v>0</v>
      </c>
      <c r="O109" s="107">
        <f ca="1" t="shared" si="7"/>
        <v>0</v>
      </c>
      <c r="P109" s="113">
        <f ca="1" t="shared" ref="P109:P129" si="8">SUM(D109:O109)</f>
        <v>34167820.23</v>
      </c>
    </row>
    <row r="110" ht="15.95" customHeight="1" spans="2:16">
      <c r="B110" s="68"/>
      <c r="C110" s="106" t="s">
        <v>185</v>
      </c>
      <c r="D110" s="107">
        <f ca="1" t="shared" ref="D110:D131" si="9">IFERROR(INDIRECT("'"&amp;$C110&amp;"'"&amp;"!"&amp;D$108&amp;"93"),"")</f>
        <v>227373.94</v>
      </c>
      <c r="E110" s="107">
        <f ca="1" t="shared" ref="E110:E131" si="10">IFERROR(INDIRECT("'"&amp;$C110&amp;"'"&amp;"!"&amp;E$108&amp;"93"),"")</f>
        <v>-152633.18</v>
      </c>
      <c r="F110" s="107">
        <f ca="1" t="shared" ref="F110:F131" si="11">IFERROR(INDIRECT("'"&amp;$C110&amp;"'"&amp;"!"&amp;F$108&amp;"93"),"")</f>
        <v>68585.1800000001</v>
      </c>
      <c r="G110" s="107">
        <f ca="1" t="shared" ref="G110:G131" si="12">IFERROR(INDIRECT("'"&amp;$C110&amp;"'"&amp;"!"&amp;G$108&amp;"93"),"")</f>
        <v>79831.7099999998</v>
      </c>
      <c r="H110" s="107">
        <f ca="1" t="shared" ref="H110:H131" si="13">IFERROR(INDIRECT("'"&amp;$C110&amp;"'"&amp;"!"&amp;H$108&amp;"93"),"")</f>
        <v>0</v>
      </c>
      <c r="I110" s="107">
        <f ca="1" t="shared" ref="I110:I131" si="14">IFERROR(INDIRECT("'"&amp;$C110&amp;"'"&amp;"!"&amp;I$108&amp;"93"),"")</f>
        <v>0</v>
      </c>
      <c r="J110" s="107">
        <f ca="1" t="shared" ref="J110:J131" si="15">IFERROR(INDIRECT("'"&amp;$C110&amp;"'"&amp;"!"&amp;J$108&amp;"93"),"")</f>
        <v>0</v>
      </c>
      <c r="K110" s="107">
        <f ca="1" t="shared" ref="K110:K131" si="16">IFERROR(INDIRECT("'"&amp;$C110&amp;"'"&amp;"!"&amp;K$108&amp;"93"),"")</f>
        <v>0</v>
      </c>
      <c r="L110" s="107">
        <f ca="1" t="shared" ref="L110:L131" si="17">IFERROR(INDIRECT("'"&amp;$C110&amp;"'"&amp;"!"&amp;L$108&amp;"93"),"")</f>
        <v>0</v>
      </c>
      <c r="M110" s="107">
        <f ca="1" t="shared" ref="M110:M131" si="18">IFERROR(INDIRECT("'"&amp;$C110&amp;"'"&amp;"!"&amp;M$108&amp;"93"),"")</f>
        <v>0</v>
      </c>
      <c r="N110" s="107">
        <f ca="1" t="shared" ref="N110:N131" si="19">IFERROR(INDIRECT("'"&amp;$C110&amp;"'"&amp;"!"&amp;N$108&amp;"93"),"")</f>
        <v>0</v>
      </c>
      <c r="O110" s="107">
        <f ca="1" t="shared" ref="O110:O131" si="20">IFERROR(INDIRECT("'"&amp;$C110&amp;"'"&amp;"!"&amp;O$108&amp;"93"),"")</f>
        <v>0</v>
      </c>
      <c r="P110" s="113">
        <f ca="1" t="shared" si="8"/>
        <v>223157.65</v>
      </c>
    </row>
    <row r="111" ht="15.95" customHeight="1" spans="2:16">
      <c r="B111" s="68"/>
      <c r="C111" s="106" t="s">
        <v>186</v>
      </c>
      <c r="D111" s="107">
        <f ca="1" t="shared" si="9"/>
        <v>475916.81</v>
      </c>
      <c r="E111" s="107">
        <f ca="1" t="shared" si="10"/>
        <v>386119.84</v>
      </c>
      <c r="F111" s="107">
        <f ca="1" t="shared" si="11"/>
        <v>448442.18</v>
      </c>
      <c r="G111" s="107">
        <f ca="1" t="shared" si="12"/>
        <v>575185</v>
      </c>
      <c r="H111" s="107">
        <f ca="1" t="shared" si="13"/>
        <v>0</v>
      </c>
      <c r="I111" s="107">
        <f ca="1" t="shared" si="14"/>
        <v>0</v>
      </c>
      <c r="J111" s="107">
        <f ca="1" t="shared" si="15"/>
        <v>0</v>
      </c>
      <c r="K111" s="107">
        <f ca="1" t="shared" si="16"/>
        <v>0</v>
      </c>
      <c r="L111" s="107">
        <f ca="1" t="shared" si="17"/>
        <v>0</v>
      </c>
      <c r="M111" s="107">
        <f ca="1" t="shared" si="18"/>
        <v>0</v>
      </c>
      <c r="N111" s="107">
        <f ca="1" t="shared" si="19"/>
        <v>0</v>
      </c>
      <c r="O111" s="107">
        <f ca="1" t="shared" si="20"/>
        <v>0</v>
      </c>
      <c r="P111" s="113">
        <f ca="1" t="shared" si="8"/>
        <v>1885663.83</v>
      </c>
    </row>
    <row r="112" ht="15.95" customHeight="1" spans="2:16">
      <c r="B112" s="68"/>
      <c r="C112" s="106" t="s">
        <v>187</v>
      </c>
      <c r="D112" s="107">
        <f ca="1" t="shared" si="9"/>
        <v>634083.46</v>
      </c>
      <c r="E112" s="107">
        <f ca="1" t="shared" si="10"/>
        <v>620027.36</v>
      </c>
      <c r="F112" s="107">
        <f ca="1" t="shared" si="11"/>
        <v>751153.03</v>
      </c>
      <c r="G112" s="107">
        <f ca="1" t="shared" si="12"/>
        <v>713313.45</v>
      </c>
      <c r="H112" s="107">
        <f ca="1" t="shared" si="13"/>
        <v>0</v>
      </c>
      <c r="I112" s="107">
        <f ca="1" t="shared" si="14"/>
        <v>0</v>
      </c>
      <c r="J112" s="107">
        <f ca="1" t="shared" si="15"/>
        <v>0</v>
      </c>
      <c r="K112" s="107">
        <f ca="1" t="shared" si="16"/>
        <v>0</v>
      </c>
      <c r="L112" s="107">
        <f ca="1" t="shared" si="17"/>
        <v>0</v>
      </c>
      <c r="M112" s="107">
        <f ca="1" t="shared" si="18"/>
        <v>0</v>
      </c>
      <c r="N112" s="107">
        <f ca="1" t="shared" si="19"/>
        <v>0</v>
      </c>
      <c r="O112" s="107">
        <f ca="1" t="shared" si="20"/>
        <v>0</v>
      </c>
      <c r="P112" s="113">
        <f ca="1" t="shared" si="8"/>
        <v>2718577.3</v>
      </c>
    </row>
    <row r="113" ht="15.95" customHeight="1" spans="2:16">
      <c r="B113" s="68"/>
      <c r="C113" s="106" t="s">
        <v>188</v>
      </c>
      <c r="D113" s="107">
        <f ca="1" t="shared" si="9"/>
        <v>0</v>
      </c>
      <c r="E113" s="107">
        <f ca="1" t="shared" si="10"/>
        <v>5500</v>
      </c>
      <c r="F113" s="107">
        <f ca="1" t="shared" si="11"/>
        <v>0</v>
      </c>
      <c r="G113" s="107">
        <f ca="1" t="shared" si="12"/>
        <v>-5500</v>
      </c>
      <c r="H113" s="107">
        <f ca="1" t="shared" si="13"/>
        <v>0</v>
      </c>
      <c r="I113" s="107">
        <f ca="1" t="shared" si="14"/>
        <v>0</v>
      </c>
      <c r="J113" s="107">
        <f ca="1" t="shared" si="15"/>
        <v>0</v>
      </c>
      <c r="K113" s="107">
        <f ca="1" t="shared" si="16"/>
        <v>0</v>
      </c>
      <c r="L113" s="107">
        <f ca="1" t="shared" si="17"/>
        <v>0</v>
      </c>
      <c r="M113" s="107">
        <f ca="1" t="shared" si="18"/>
        <v>0</v>
      </c>
      <c r="N113" s="107">
        <f ca="1" t="shared" si="19"/>
        <v>0</v>
      </c>
      <c r="O113" s="107">
        <f ca="1" t="shared" si="20"/>
        <v>0</v>
      </c>
      <c r="P113" s="113">
        <f ca="1" t="shared" si="8"/>
        <v>0</v>
      </c>
    </row>
    <row r="114" ht="15.95" customHeight="1" spans="1:16">
      <c r="A114" s="68"/>
      <c r="B114" s="68"/>
      <c r="C114" s="106" t="s">
        <v>189</v>
      </c>
      <c r="D114" s="107">
        <f ca="1" t="shared" si="9"/>
        <v>11557.57</v>
      </c>
      <c r="E114" s="107">
        <f ca="1" t="shared" si="10"/>
        <v>18554.21</v>
      </c>
      <c r="F114" s="107">
        <f ca="1" t="shared" si="11"/>
        <v>17341.33</v>
      </c>
      <c r="G114" s="107">
        <f ca="1" t="shared" si="12"/>
        <v>17097.77</v>
      </c>
      <c r="H114" s="107">
        <f ca="1" t="shared" si="13"/>
        <v>0</v>
      </c>
      <c r="I114" s="107">
        <f ca="1" t="shared" si="14"/>
        <v>0</v>
      </c>
      <c r="J114" s="107">
        <f ca="1" t="shared" si="15"/>
        <v>0</v>
      </c>
      <c r="K114" s="107">
        <f ca="1" t="shared" si="16"/>
        <v>0</v>
      </c>
      <c r="L114" s="107">
        <f ca="1" t="shared" si="17"/>
        <v>0</v>
      </c>
      <c r="M114" s="107">
        <f ca="1" t="shared" si="18"/>
        <v>0</v>
      </c>
      <c r="N114" s="107">
        <f ca="1" t="shared" si="19"/>
        <v>0</v>
      </c>
      <c r="O114" s="107">
        <f ca="1" t="shared" si="20"/>
        <v>0</v>
      </c>
      <c r="P114" s="113">
        <f ca="1" t="shared" si="8"/>
        <v>64550.88</v>
      </c>
    </row>
    <row r="115" ht="15.95" customHeight="1" spans="1:16">
      <c r="A115" s="68"/>
      <c r="B115" s="68"/>
      <c r="C115" s="106" t="s">
        <v>190</v>
      </c>
      <c r="D115" s="107">
        <f ca="1" t="shared" si="9"/>
        <v>28751.59</v>
      </c>
      <c r="E115" s="107">
        <f ca="1" t="shared" si="10"/>
        <v>43428.09</v>
      </c>
      <c r="F115" s="107">
        <f ca="1" t="shared" si="11"/>
        <v>45211.59</v>
      </c>
      <c r="G115" s="107">
        <f ca="1" t="shared" si="12"/>
        <v>28731.59</v>
      </c>
      <c r="H115" s="107">
        <f ca="1" t="shared" si="13"/>
        <v>0</v>
      </c>
      <c r="I115" s="107">
        <f ca="1" t="shared" si="14"/>
        <v>0</v>
      </c>
      <c r="J115" s="107">
        <f ca="1" t="shared" si="15"/>
        <v>0</v>
      </c>
      <c r="K115" s="107">
        <f ca="1" t="shared" si="16"/>
        <v>0</v>
      </c>
      <c r="L115" s="107">
        <f ca="1" t="shared" si="17"/>
        <v>0</v>
      </c>
      <c r="M115" s="107">
        <f ca="1" t="shared" si="18"/>
        <v>0</v>
      </c>
      <c r="N115" s="107">
        <f ca="1" t="shared" si="19"/>
        <v>0</v>
      </c>
      <c r="O115" s="107">
        <f ca="1" t="shared" si="20"/>
        <v>0</v>
      </c>
      <c r="P115" s="113">
        <f ca="1" t="shared" si="8"/>
        <v>146122.86</v>
      </c>
    </row>
    <row r="116" ht="15.95" customHeight="1" spans="1:16">
      <c r="A116" s="68"/>
      <c r="B116" s="68"/>
      <c r="C116" s="106" t="s">
        <v>191</v>
      </c>
      <c r="D116" s="107">
        <f ca="1" t="shared" si="9"/>
        <v>26047.39</v>
      </c>
      <c r="E116" s="107">
        <f ca="1" t="shared" si="10"/>
        <v>21258.16</v>
      </c>
      <c r="F116" s="107">
        <f ca="1" t="shared" si="11"/>
        <v>15930.71</v>
      </c>
      <c r="G116" s="107">
        <f ca="1" t="shared" si="12"/>
        <v>-26342.18</v>
      </c>
      <c r="H116" s="107">
        <f ca="1" t="shared" si="13"/>
        <v>0</v>
      </c>
      <c r="I116" s="107">
        <f ca="1" t="shared" si="14"/>
        <v>0</v>
      </c>
      <c r="J116" s="107">
        <f ca="1" t="shared" si="15"/>
        <v>0</v>
      </c>
      <c r="K116" s="107">
        <f ca="1" t="shared" si="16"/>
        <v>0</v>
      </c>
      <c r="L116" s="107">
        <f ca="1" t="shared" si="17"/>
        <v>0</v>
      </c>
      <c r="M116" s="107">
        <f ca="1" t="shared" si="18"/>
        <v>0</v>
      </c>
      <c r="N116" s="107">
        <f ca="1" t="shared" si="19"/>
        <v>0</v>
      </c>
      <c r="O116" s="107">
        <f ca="1" t="shared" si="20"/>
        <v>0</v>
      </c>
      <c r="P116" s="113">
        <f ca="1" t="shared" si="8"/>
        <v>36894.08</v>
      </c>
    </row>
    <row r="117" ht="15.95" customHeight="1" spans="1:16">
      <c r="A117" s="68"/>
      <c r="B117" s="68"/>
      <c r="C117" s="106" t="s">
        <v>192</v>
      </c>
      <c r="D117" s="107">
        <f ca="1" t="shared" si="9"/>
        <v>437810.03</v>
      </c>
      <c r="E117" s="107">
        <f ca="1" t="shared" si="10"/>
        <v>331240.21</v>
      </c>
      <c r="F117" s="107">
        <f ca="1" t="shared" si="11"/>
        <v>366604.11</v>
      </c>
      <c r="G117" s="107">
        <f ca="1" t="shared" si="12"/>
        <v>399178.03</v>
      </c>
      <c r="H117" s="107">
        <f ca="1" t="shared" si="13"/>
        <v>0</v>
      </c>
      <c r="I117" s="107">
        <f ca="1" t="shared" si="14"/>
        <v>0</v>
      </c>
      <c r="J117" s="107">
        <f ca="1" t="shared" si="15"/>
        <v>0</v>
      </c>
      <c r="K117" s="107">
        <f ca="1" t="shared" si="16"/>
        <v>0</v>
      </c>
      <c r="L117" s="107">
        <f ca="1" t="shared" si="17"/>
        <v>0</v>
      </c>
      <c r="M117" s="107">
        <f ca="1" t="shared" si="18"/>
        <v>0</v>
      </c>
      <c r="N117" s="107">
        <f ca="1" t="shared" si="19"/>
        <v>0</v>
      </c>
      <c r="O117" s="107">
        <f ca="1" t="shared" si="20"/>
        <v>0</v>
      </c>
      <c r="P117" s="113">
        <f ca="1" t="shared" si="8"/>
        <v>1534832.38</v>
      </c>
    </row>
    <row r="118" ht="15.95" customHeight="1" spans="1:16">
      <c r="A118" s="68"/>
      <c r="B118" s="68"/>
      <c r="C118" s="106" t="s">
        <v>193</v>
      </c>
      <c r="D118" s="107">
        <f ca="1" t="shared" si="9"/>
        <v>751228.6</v>
      </c>
      <c r="E118" s="107">
        <f ca="1" t="shared" si="10"/>
        <v>1289587.34</v>
      </c>
      <c r="F118" s="107">
        <f ca="1" t="shared" si="11"/>
        <v>1489890.33</v>
      </c>
      <c r="G118" s="107">
        <f ca="1" t="shared" si="12"/>
        <v>1428599.92</v>
      </c>
      <c r="H118" s="107">
        <f ca="1" t="shared" si="13"/>
        <v>0</v>
      </c>
      <c r="I118" s="107">
        <f ca="1" t="shared" si="14"/>
        <v>0</v>
      </c>
      <c r="J118" s="107">
        <f ca="1" t="shared" si="15"/>
        <v>0</v>
      </c>
      <c r="K118" s="107">
        <f ca="1" t="shared" si="16"/>
        <v>0</v>
      </c>
      <c r="L118" s="107">
        <f ca="1" t="shared" si="17"/>
        <v>0</v>
      </c>
      <c r="M118" s="107">
        <f ca="1" t="shared" si="18"/>
        <v>0</v>
      </c>
      <c r="N118" s="107">
        <f ca="1" t="shared" si="19"/>
        <v>0</v>
      </c>
      <c r="O118" s="107">
        <f ca="1" t="shared" si="20"/>
        <v>0</v>
      </c>
      <c r="P118" s="113">
        <f ca="1" t="shared" si="8"/>
        <v>4959306.19</v>
      </c>
    </row>
    <row r="119" ht="15.95" customHeight="1" spans="1:16">
      <c r="A119" s="68"/>
      <c r="B119" s="68"/>
      <c r="C119" s="106" t="s">
        <v>194</v>
      </c>
      <c r="D119" s="107">
        <f ca="1" t="shared" si="9"/>
        <v>77178.02</v>
      </c>
      <c r="E119" s="107">
        <f ca="1" t="shared" si="10"/>
        <v>100325.3</v>
      </c>
      <c r="F119" s="107">
        <f ca="1" t="shared" si="11"/>
        <v>80981.78</v>
      </c>
      <c r="G119" s="107">
        <f ca="1" t="shared" si="12"/>
        <v>87412.26</v>
      </c>
      <c r="H119" s="107">
        <f ca="1" t="shared" si="13"/>
        <v>0</v>
      </c>
      <c r="I119" s="107">
        <f ca="1" t="shared" si="14"/>
        <v>0</v>
      </c>
      <c r="J119" s="107">
        <f ca="1" t="shared" si="15"/>
        <v>0</v>
      </c>
      <c r="K119" s="107">
        <f ca="1" t="shared" si="16"/>
        <v>0</v>
      </c>
      <c r="L119" s="107">
        <f ca="1" t="shared" si="17"/>
        <v>0</v>
      </c>
      <c r="M119" s="107">
        <f ca="1" t="shared" si="18"/>
        <v>0</v>
      </c>
      <c r="N119" s="107">
        <f ca="1" t="shared" si="19"/>
        <v>0</v>
      </c>
      <c r="O119" s="107">
        <f ca="1" t="shared" si="20"/>
        <v>0</v>
      </c>
      <c r="P119" s="113">
        <f ca="1" t="shared" si="8"/>
        <v>345897.36</v>
      </c>
    </row>
    <row r="120" ht="15.95" customHeight="1" spans="1:16">
      <c r="A120" s="68"/>
      <c r="B120" s="68"/>
      <c r="C120" s="106" t="s">
        <v>195</v>
      </c>
      <c r="D120" s="107">
        <f ca="1" t="shared" si="9"/>
        <v>128887.2</v>
      </c>
      <c r="E120" s="107">
        <f ca="1" t="shared" si="10"/>
        <v>123743.93</v>
      </c>
      <c r="F120" s="107">
        <f ca="1" t="shared" si="11"/>
        <v>118978.73</v>
      </c>
      <c r="G120" s="107">
        <f ca="1" t="shared" si="12"/>
        <v>112952.68</v>
      </c>
      <c r="H120" s="107">
        <f ca="1" t="shared" si="13"/>
        <v>0</v>
      </c>
      <c r="I120" s="107">
        <f ca="1" t="shared" si="14"/>
        <v>0</v>
      </c>
      <c r="J120" s="107">
        <f ca="1" t="shared" si="15"/>
        <v>0</v>
      </c>
      <c r="K120" s="107">
        <f ca="1" t="shared" si="16"/>
        <v>0</v>
      </c>
      <c r="L120" s="107">
        <f ca="1" t="shared" si="17"/>
        <v>0</v>
      </c>
      <c r="M120" s="107">
        <f ca="1" t="shared" si="18"/>
        <v>0</v>
      </c>
      <c r="N120" s="107">
        <f ca="1" t="shared" si="19"/>
        <v>0</v>
      </c>
      <c r="O120" s="107">
        <f ca="1" t="shared" si="20"/>
        <v>0</v>
      </c>
      <c r="P120" s="113">
        <f ca="1" t="shared" si="8"/>
        <v>484562.54</v>
      </c>
    </row>
    <row r="121" ht="15.95" customHeight="1" spans="1:16">
      <c r="A121" s="68"/>
      <c r="B121" s="68"/>
      <c r="C121" s="106" t="s">
        <v>196</v>
      </c>
      <c r="D121" s="107">
        <f ca="1" t="shared" si="9"/>
        <v>7131111.11</v>
      </c>
      <c r="E121" s="107">
        <f ca="1" t="shared" si="10"/>
        <v>7691542.77</v>
      </c>
      <c r="F121" s="107">
        <f ca="1" t="shared" si="11"/>
        <v>10989096.84</v>
      </c>
      <c r="G121" s="107">
        <f ca="1" t="shared" si="12"/>
        <v>15242894.55</v>
      </c>
      <c r="H121" s="107">
        <f ca="1" t="shared" si="13"/>
        <v>425.379771</v>
      </c>
      <c r="I121" s="107">
        <f ca="1" t="shared" si="14"/>
        <v>0</v>
      </c>
      <c r="J121" s="107">
        <f ca="1" t="shared" si="15"/>
        <v>0</v>
      </c>
      <c r="K121" s="107">
        <f ca="1" t="shared" si="16"/>
        <v>0</v>
      </c>
      <c r="L121" s="107">
        <f ca="1" t="shared" si="17"/>
        <v>0</v>
      </c>
      <c r="M121" s="107">
        <f ca="1" t="shared" si="18"/>
        <v>0</v>
      </c>
      <c r="N121" s="107">
        <f ca="1" t="shared" si="19"/>
        <v>0</v>
      </c>
      <c r="O121" s="107">
        <f ca="1" t="shared" si="20"/>
        <v>0</v>
      </c>
      <c r="P121" s="113">
        <f ca="1" t="shared" si="8"/>
        <v>41055070.649771</v>
      </c>
    </row>
    <row r="122" ht="15.95" customHeight="1" spans="1:16">
      <c r="A122" s="68"/>
      <c r="B122" s="68"/>
      <c r="C122" s="106" t="s">
        <v>197</v>
      </c>
      <c r="D122" s="107">
        <f ca="1" t="shared" si="9"/>
        <v>881133.29</v>
      </c>
      <c r="E122" s="107">
        <f ca="1" t="shared" si="10"/>
        <v>3831787.93</v>
      </c>
      <c r="F122" s="107">
        <f ca="1" t="shared" si="11"/>
        <v>5115866.51</v>
      </c>
      <c r="G122" s="107">
        <f ca="1" t="shared" si="12"/>
        <v>4603445.02</v>
      </c>
      <c r="H122" s="107">
        <f ca="1" t="shared" si="13"/>
        <v>0</v>
      </c>
      <c r="I122" s="107">
        <f ca="1" t="shared" si="14"/>
        <v>0</v>
      </c>
      <c r="J122" s="107">
        <f ca="1" t="shared" si="15"/>
        <v>0</v>
      </c>
      <c r="K122" s="107">
        <f ca="1" t="shared" si="16"/>
        <v>0</v>
      </c>
      <c r="L122" s="107">
        <f ca="1" t="shared" si="17"/>
        <v>0</v>
      </c>
      <c r="M122" s="107">
        <f ca="1" t="shared" si="18"/>
        <v>0</v>
      </c>
      <c r="N122" s="107">
        <f ca="1" t="shared" si="19"/>
        <v>0</v>
      </c>
      <c r="O122" s="107">
        <f ca="1" t="shared" si="20"/>
        <v>0</v>
      </c>
      <c r="P122" s="113">
        <f ca="1" t="shared" si="8"/>
        <v>14432232.75</v>
      </c>
    </row>
    <row r="123" ht="15.95" customHeight="1" spans="1:16">
      <c r="A123" s="68"/>
      <c r="B123" s="68"/>
      <c r="C123" s="106" t="s">
        <v>198</v>
      </c>
      <c r="D123" s="107">
        <f ca="1" t="shared" si="9"/>
        <v>296704.23</v>
      </c>
      <c r="E123" s="107">
        <f ca="1" t="shared" si="10"/>
        <v>230660.92</v>
      </c>
      <c r="F123" s="107">
        <f ca="1" t="shared" si="11"/>
        <v>307498.31</v>
      </c>
      <c r="G123" s="107">
        <f ca="1" t="shared" si="12"/>
        <v>396376.41</v>
      </c>
      <c r="H123" s="107">
        <f ca="1" t="shared" si="13"/>
        <v>0</v>
      </c>
      <c r="I123" s="107">
        <f ca="1" t="shared" si="14"/>
        <v>0</v>
      </c>
      <c r="J123" s="107">
        <f ca="1" t="shared" si="15"/>
        <v>0</v>
      </c>
      <c r="K123" s="107">
        <f ca="1" t="shared" si="16"/>
        <v>0</v>
      </c>
      <c r="L123" s="107">
        <f ca="1" t="shared" si="17"/>
        <v>0</v>
      </c>
      <c r="M123" s="107">
        <f ca="1" t="shared" si="18"/>
        <v>0</v>
      </c>
      <c r="N123" s="107">
        <f ca="1" t="shared" si="19"/>
        <v>0</v>
      </c>
      <c r="O123" s="107">
        <f ca="1" t="shared" si="20"/>
        <v>0</v>
      </c>
      <c r="P123" s="113">
        <f ca="1" t="shared" si="8"/>
        <v>1231239.87</v>
      </c>
    </row>
    <row r="124" ht="15.95" customHeight="1" spans="1:16">
      <c r="A124" s="68"/>
      <c r="C124" s="106" t="s">
        <v>199</v>
      </c>
      <c r="D124" s="107">
        <f ca="1" t="shared" si="9"/>
        <v>16919.7</v>
      </c>
      <c r="E124" s="107">
        <f ca="1" t="shared" si="10"/>
        <v>30343.22</v>
      </c>
      <c r="F124" s="107">
        <f ca="1" t="shared" si="11"/>
        <v>23778.22</v>
      </c>
      <c r="G124" s="107">
        <f ca="1" t="shared" si="12"/>
        <v>25237.2</v>
      </c>
      <c r="H124" s="107">
        <f ca="1" t="shared" si="13"/>
        <v>0</v>
      </c>
      <c r="I124" s="107">
        <f ca="1" t="shared" si="14"/>
        <v>0</v>
      </c>
      <c r="J124" s="107">
        <f ca="1" t="shared" si="15"/>
        <v>0</v>
      </c>
      <c r="K124" s="107">
        <f ca="1" t="shared" si="16"/>
        <v>0</v>
      </c>
      <c r="L124" s="107">
        <f ca="1" t="shared" si="17"/>
        <v>0</v>
      </c>
      <c r="M124" s="107">
        <f ca="1" t="shared" si="18"/>
        <v>0</v>
      </c>
      <c r="N124" s="107">
        <f ca="1" t="shared" si="19"/>
        <v>0</v>
      </c>
      <c r="O124" s="107">
        <f ca="1" t="shared" si="20"/>
        <v>0</v>
      </c>
      <c r="P124" s="113">
        <f ca="1" t="shared" si="8"/>
        <v>96278.34</v>
      </c>
    </row>
    <row r="125" ht="15.95" customHeight="1" spans="1:16">
      <c r="A125" s="68"/>
      <c r="B125" s="68"/>
      <c r="C125" s="106" t="s">
        <v>200</v>
      </c>
      <c r="D125" s="107">
        <f ca="1" t="shared" si="9"/>
        <v>0</v>
      </c>
      <c r="E125" s="107">
        <f ca="1" t="shared" si="10"/>
        <v>0</v>
      </c>
      <c r="F125" s="107">
        <f ca="1" t="shared" si="11"/>
        <v>0</v>
      </c>
      <c r="G125" s="107">
        <f ca="1" t="shared" si="12"/>
        <v>0</v>
      </c>
      <c r="H125" s="107">
        <f ca="1" t="shared" si="13"/>
        <v>0</v>
      </c>
      <c r="I125" s="107">
        <f ca="1" t="shared" si="14"/>
        <v>0</v>
      </c>
      <c r="J125" s="107">
        <f ca="1" t="shared" si="15"/>
        <v>0</v>
      </c>
      <c r="K125" s="107">
        <f ca="1" t="shared" si="16"/>
        <v>0</v>
      </c>
      <c r="L125" s="107">
        <f ca="1" t="shared" si="17"/>
        <v>0</v>
      </c>
      <c r="M125" s="107">
        <f ca="1" t="shared" si="18"/>
        <v>0</v>
      </c>
      <c r="N125" s="107">
        <f ca="1" t="shared" si="19"/>
        <v>0</v>
      </c>
      <c r="O125" s="107">
        <f ca="1" t="shared" si="20"/>
        <v>0</v>
      </c>
      <c r="P125" s="113">
        <f ca="1" t="shared" si="8"/>
        <v>0</v>
      </c>
    </row>
    <row r="126" ht="15.95" customHeight="1" spans="1:16">
      <c r="A126" s="68"/>
      <c r="B126" s="68"/>
      <c r="C126" s="106" t="s">
        <v>201</v>
      </c>
      <c r="D126" s="107">
        <f ca="1" t="shared" si="9"/>
        <v>3500</v>
      </c>
      <c r="E126" s="107">
        <f ca="1" t="shared" si="10"/>
        <v>0</v>
      </c>
      <c r="F126" s="107">
        <f ca="1" t="shared" si="11"/>
        <v>0</v>
      </c>
      <c r="G126" s="107">
        <f ca="1" t="shared" si="12"/>
        <v>0</v>
      </c>
      <c r="H126" s="107">
        <f ca="1" t="shared" si="13"/>
        <v>0</v>
      </c>
      <c r="I126" s="107">
        <f ca="1" t="shared" si="14"/>
        <v>0</v>
      </c>
      <c r="J126" s="107">
        <f ca="1" t="shared" si="15"/>
        <v>0</v>
      </c>
      <c r="K126" s="107">
        <f ca="1" t="shared" si="16"/>
        <v>0</v>
      </c>
      <c r="L126" s="107">
        <f ca="1" t="shared" si="17"/>
        <v>0</v>
      </c>
      <c r="M126" s="107">
        <f ca="1" t="shared" si="18"/>
        <v>0</v>
      </c>
      <c r="N126" s="107">
        <f ca="1" t="shared" si="19"/>
        <v>0</v>
      </c>
      <c r="O126" s="107">
        <f ca="1" t="shared" si="20"/>
        <v>0</v>
      </c>
      <c r="P126" s="113">
        <f ca="1" t="shared" si="8"/>
        <v>3500</v>
      </c>
    </row>
    <row r="127" ht="15.95" customHeight="1" spans="1:16">
      <c r="A127" s="68"/>
      <c r="C127" s="106" t="s">
        <v>202</v>
      </c>
      <c r="D127" s="107">
        <f ca="1" t="shared" si="9"/>
        <v>298671.65</v>
      </c>
      <c r="E127" s="107">
        <f ca="1" t="shared" si="10"/>
        <v>275604.56</v>
      </c>
      <c r="F127" s="107">
        <f ca="1" t="shared" si="11"/>
        <v>280572.43</v>
      </c>
      <c r="G127" s="107">
        <f ca="1" t="shared" si="12"/>
        <v>291505.02</v>
      </c>
      <c r="H127" s="107">
        <f ca="1" t="shared" si="13"/>
        <v>0</v>
      </c>
      <c r="I127" s="107">
        <f ca="1" t="shared" si="14"/>
        <v>0</v>
      </c>
      <c r="J127" s="107">
        <f ca="1" t="shared" si="15"/>
        <v>0</v>
      </c>
      <c r="K127" s="107">
        <f ca="1" t="shared" si="16"/>
        <v>0</v>
      </c>
      <c r="L127" s="107">
        <f ca="1" t="shared" si="17"/>
        <v>0</v>
      </c>
      <c r="M127" s="107">
        <f ca="1" t="shared" si="18"/>
        <v>0</v>
      </c>
      <c r="N127" s="107">
        <f ca="1" t="shared" si="19"/>
        <v>0</v>
      </c>
      <c r="O127" s="107">
        <f ca="1" t="shared" si="20"/>
        <v>0</v>
      </c>
      <c r="P127" s="113">
        <f ca="1" t="shared" si="8"/>
        <v>1146353.66</v>
      </c>
    </row>
    <row r="128" ht="15.95" customHeight="1" spans="1:16">
      <c r="A128" s="68"/>
      <c r="C128" s="106" t="s">
        <v>203</v>
      </c>
      <c r="D128" s="107">
        <f ca="1" t="shared" si="9"/>
        <v>311760.18</v>
      </c>
      <c r="E128" s="107">
        <f ca="1" t="shared" si="10"/>
        <v>248920.8</v>
      </c>
      <c r="F128" s="107">
        <f ca="1" t="shared" si="11"/>
        <v>240088.53</v>
      </c>
      <c r="G128" s="107">
        <f ca="1" t="shared" si="12"/>
        <v>705341.25</v>
      </c>
      <c r="H128" s="107">
        <f ca="1" t="shared" si="13"/>
        <v>0</v>
      </c>
      <c r="I128" s="107">
        <f ca="1" t="shared" si="14"/>
        <v>0</v>
      </c>
      <c r="J128" s="107">
        <f ca="1" t="shared" si="15"/>
        <v>0</v>
      </c>
      <c r="K128" s="107">
        <f ca="1" t="shared" si="16"/>
        <v>0</v>
      </c>
      <c r="L128" s="107">
        <f ca="1" t="shared" si="17"/>
        <v>0</v>
      </c>
      <c r="M128" s="107">
        <f ca="1" t="shared" si="18"/>
        <v>0</v>
      </c>
      <c r="N128" s="107">
        <f ca="1" t="shared" si="19"/>
        <v>0</v>
      </c>
      <c r="O128" s="107">
        <f ca="1" t="shared" si="20"/>
        <v>0</v>
      </c>
      <c r="P128" s="113">
        <f ca="1" t="shared" si="8"/>
        <v>1506110.76</v>
      </c>
    </row>
    <row r="129" ht="15.95" customHeight="1" spans="1:16">
      <c r="A129" s="68"/>
      <c r="C129" s="106" t="s">
        <v>204</v>
      </c>
      <c r="D129" s="107">
        <f ca="1" t="shared" si="9"/>
        <v>124973.21</v>
      </c>
      <c r="E129" s="107">
        <f ca="1" t="shared" si="10"/>
        <v>141423.01</v>
      </c>
      <c r="F129" s="107">
        <f ca="1" t="shared" si="11"/>
        <v>122713.39</v>
      </c>
      <c r="G129" s="107">
        <f ca="1" t="shared" si="12"/>
        <v>104091.43</v>
      </c>
      <c r="H129" s="107">
        <f ca="1" t="shared" si="13"/>
        <v>0</v>
      </c>
      <c r="I129" s="107">
        <f ca="1" t="shared" si="14"/>
        <v>0</v>
      </c>
      <c r="J129" s="107">
        <f ca="1" t="shared" si="15"/>
        <v>0</v>
      </c>
      <c r="K129" s="107">
        <f ca="1" t="shared" si="16"/>
        <v>0</v>
      </c>
      <c r="L129" s="107">
        <f ca="1" t="shared" si="17"/>
        <v>0</v>
      </c>
      <c r="M129" s="107">
        <f ca="1" t="shared" si="18"/>
        <v>0</v>
      </c>
      <c r="N129" s="107">
        <f ca="1" t="shared" si="19"/>
        <v>0</v>
      </c>
      <c r="O129" s="107">
        <f ca="1" t="shared" si="20"/>
        <v>0</v>
      </c>
      <c r="P129" s="113">
        <f ca="1" t="shared" si="8"/>
        <v>493201.04</v>
      </c>
    </row>
    <row r="130" ht="15.95" customHeight="1" spans="1:16">
      <c r="A130" s="68"/>
      <c r="C130" s="106" t="s">
        <v>205</v>
      </c>
      <c r="D130" s="107">
        <f ca="1" t="shared" si="9"/>
        <v>0</v>
      </c>
      <c r="E130" s="107">
        <f ca="1" t="shared" si="10"/>
        <v>0</v>
      </c>
      <c r="F130" s="107">
        <f ca="1" t="shared" si="11"/>
        <v>0</v>
      </c>
      <c r="G130" s="107">
        <f ca="1" t="shared" si="12"/>
        <v>0</v>
      </c>
      <c r="H130" s="107">
        <f ca="1" t="shared" si="13"/>
        <v>0</v>
      </c>
      <c r="I130" s="107">
        <f ca="1" t="shared" si="14"/>
        <v>0</v>
      </c>
      <c r="J130" s="107">
        <f ca="1" t="shared" si="15"/>
        <v>0</v>
      </c>
      <c r="K130" s="107">
        <f ca="1" t="shared" si="16"/>
        <v>0</v>
      </c>
      <c r="L130" s="107">
        <f ca="1" t="shared" si="17"/>
        <v>0</v>
      </c>
      <c r="M130" s="107">
        <f ca="1" t="shared" si="18"/>
        <v>0</v>
      </c>
      <c r="N130" s="107">
        <f ca="1" t="shared" si="19"/>
        <v>0</v>
      </c>
      <c r="O130" s="107">
        <f ca="1" t="shared" si="20"/>
        <v>0</v>
      </c>
      <c r="P130" s="113"/>
    </row>
    <row r="131" ht="15.95" customHeight="1" spans="1:16">
      <c r="A131" s="68"/>
      <c r="C131" s="106" t="s">
        <v>206</v>
      </c>
      <c r="D131" s="107">
        <f ca="1" t="shared" si="9"/>
        <v>0</v>
      </c>
      <c r="E131" s="107">
        <f ca="1" t="shared" si="10"/>
        <v>0</v>
      </c>
      <c r="F131" s="107">
        <f ca="1" t="shared" si="11"/>
        <v>183290.25</v>
      </c>
      <c r="G131" s="107">
        <f ca="1" t="shared" si="12"/>
        <v>90839.82</v>
      </c>
      <c r="H131" s="107">
        <f ca="1" t="shared" si="13"/>
        <v>0</v>
      </c>
      <c r="I131" s="107">
        <f ca="1" t="shared" si="14"/>
        <v>0</v>
      </c>
      <c r="J131" s="107">
        <f ca="1" t="shared" si="15"/>
        <v>0</v>
      </c>
      <c r="K131" s="107">
        <f ca="1" t="shared" si="16"/>
        <v>0</v>
      </c>
      <c r="L131" s="107">
        <f ca="1" t="shared" si="17"/>
        <v>0</v>
      </c>
      <c r="M131" s="107">
        <f ca="1" t="shared" si="18"/>
        <v>0</v>
      </c>
      <c r="N131" s="107">
        <f ca="1" t="shared" si="19"/>
        <v>0</v>
      </c>
      <c r="O131" s="107">
        <f ca="1" t="shared" si="20"/>
        <v>0</v>
      </c>
      <c r="P131" s="113"/>
    </row>
    <row r="132" ht="15.95" customHeight="1" spans="3:16">
      <c r="C132" s="106" t="s">
        <v>12</v>
      </c>
      <c r="D132" s="107">
        <f ca="1" t="shared" ref="D132:O132" si="21">SUM(D109:D131)</f>
        <v>19633552.09</v>
      </c>
      <c r="E132" s="107">
        <f ca="1" t="shared" si="21"/>
        <v>22314568.48</v>
      </c>
      <c r="F132" s="107">
        <f ca="1" t="shared" si="21"/>
        <v>29903511.4</v>
      </c>
      <c r="G132" s="107">
        <f ca="1" t="shared" si="21"/>
        <v>34953445.09</v>
      </c>
      <c r="H132" s="107">
        <f ca="1" t="shared" si="21"/>
        <v>425.379771</v>
      </c>
      <c r="I132" s="107">
        <f ca="1" t="shared" si="21"/>
        <v>0</v>
      </c>
      <c r="J132" s="107">
        <f ca="1" t="shared" si="21"/>
        <v>0</v>
      </c>
      <c r="K132" s="107">
        <f ca="1" t="shared" si="21"/>
        <v>0</v>
      </c>
      <c r="L132" s="107">
        <f ca="1" t="shared" si="21"/>
        <v>0</v>
      </c>
      <c r="M132" s="107">
        <f ca="1" t="shared" si="21"/>
        <v>0</v>
      </c>
      <c r="N132" s="107">
        <f ca="1" t="shared" si="21"/>
        <v>0</v>
      </c>
      <c r="O132" s="107">
        <f ca="1" t="shared" si="21"/>
        <v>0</v>
      </c>
      <c r="P132" s="113">
        <f ca="1">SUM(D132:O132)</f>
        <v>106805502.439771</v>
      </c>
    </row>
    <row r="133" ht="15.95" customHeight="1" spans="3:16">
      <c r="C133" s="106" t="s">
        <v>13</v>
      </c>
      <c r="D133" s="108">
        <f ca="1">SUM('G-高新:G-浙江天硕'!D93)-D132</f>
        <v>0</v>
      </c>
      <c r="E133" s="108">
        <f ca="1">SUM('G-高新:G-浙江天硕'!E93)-E132</f>
        <v>0</v>
      </c>
      <c r="F133" s="108">
        <f ca="1">SUM('G-高新:G-浙江天硕'!F93)-F132</f>
        <v>0</v>
      </c>
      <c r="G133" s="108">
        <f ca="1">SUM('G-高新:G-浙江天硕'!G93)-G132</f>
        <v>0</v>
      </c>
      <c r="H133" s="108">
        <f ca="1">SUM('G-高新:G-浙江天硕'!H93)-H132</f>
        <v>0</v>
      </c>
      <c r="I133" s="108">
        <f ca="1">SUM('G-高新:G-浙江天硕'!I93)-I132</f>
        <v>0</v>
      </c>
      <c r="J133" s="108">
        <f ca="1">SUM('G-高新:G-浙江天硕'!J93)-J132</f>
        <v>0</v>
      </c>
      <c r="K133" s="108">
        <f ca="1">SUM('G-高新:G-浙江天硕'!K93)-K132</f>
        <v>0</v>
      </c>
      <c r="L133" s="108">
        <f ca="1">SUM('G-高新:G-浙江天硕'!L93)-L132</f>
        <v>0</v>
      </c>
      <c r="M133" s="108">
        <f ca="1">SUM('G-高新:G-浙江天硕'!M93)-M132</f>
        <v>0</v>
      </c>
      <c r="N133" s="108">
        <f ca="1">SUM('G-高新:G-浙江天硕'!N93)-N132</f>
        <v>0</v>
      </c>
      <c r="O133" s="108">
        <f ca="1">SUM('G-高新:G-浙江天硕'!O93)-O132</f>
        <v>0</v>
      </c>
      <c r="P133" s="113">
        <f ca="1">SUM(D133:O133)</f>
        <v>0</v>
      </c>
    </row>
    <row r="134" spans="4:9">
      <c r="D134" s="68"/>
      <c r="E134" s="68"/>
      <c r="F134" s="68"/>
      <c r="G134" s="68"/>
      <c r="H134" s="68"/>
      <c r="I134" s="68"/>
    </row>
    <row r="135" spans="3:16">
      <c r="C135" s="104" t="s">
        <v>207</v>
      </c>
      <c r="D135" s="322">
        <f t="shared" ref="D135:I135" si="22">D5</f>
        <v>43831</v>
      </c>
      <c r="E135" s="322">
        <f t="shared" si="22"/>
        <v>43862</v>
      </c>
      <c r="F135" s="322">
        <f t="shared" si="22"/>
        <v>43891</v>
      </c>
      <c r="G135" s="322">
        <f t="shared" si="22"/>
        <v>43922</v>
      </c>
      <c r="H135" s="322">
        <f t="shared" si="22"/>
        <v>43952</v>
      </c>
      <c r="I135" s="322">
        <f t="shared" si="22"/>
        <v>43983</v>
      </c>
      <c r="J135" s="322">
        <f t="shared" ref="J135:P135" si="23">J5</f>
        <v>44013</v>
      </c>
      <c r="K135" s="322">
        <f t="shared" si="23"/>
        <v>44044</v>
      </c>
      <c r="L135" s="322">
        <f t="shared" si="23"/>
        <v>44075</v>
      </c>
      <c r="M135" s="322">
        <f t="shared" si="23"/>
        <v>44105</v>
      </c>
      <c r="N135" s="322">
        <f t="shared" si="23"/>
        <v>44136</v>
      </c>
      <c r="O135" s="322">
        <f t="shared" si="23"/>
        <v>44166</v>
      </c>
      <c r="P135" s="97" t="s">
        <v>12</v>
      </c>
    </row>
    <row r="136" ht="16.5" spans="3:16">
      <c r="C136" s="104" t="s">
        <v>72</v>
      </c>
      <c r="D136" s="328">
        <v>-94339.62</v>
      </c>
      <c r="E136" s="328">
        <v>-94339.62</v>
      </c>
      <c r="F136" s="328">
        <v>-94339.62</v>
      </c>
      <c r="G136" s="328">
        <v>-94339.62</v>
      </c>
      <c r="H136" s="328">
        <v>-94339.62</v>
      </c>
      <c r="I136" s="328">
        <v>-94339.62</v>
      </c>
      <c r="J136" s="328">
        <v>-94339.62</v>
      </c>
      <c r="K136" s="328">
        <v>-94339.62</v>
      </c>
      <c r="L136" s="328">
        <v>-94339.62</v>
      </c>
      <c r="M136" s="328">
        <v>-94339.62</v>
      </c>
      <c r="N136" s="328">
        <v>-94339.62</v>
      </c>
      <c r="O136" s="328">
        <v>-94339.62</v>
      </c>
      <c r="P136" s="328">
        <f>SUM(D136:O136)</f>
        <v>-1132075.44</v>
      </c>
    </row>
    <row r="137" ht="16.5" spans="3:16">
      <c r="C137" s="104" t="s">
        <v>119</v>
      </c>
      <c r="D137" s="328">
        <v>41383.95</v>
      </c>
      <c r="E137" s="328">
        <v>41383.95</v>
      </c>
      <c r="F137" s="328">
        <v>41383.95</v>
      </c>
      <c r="G137" s="328">
        <v>41383.95</v>
      </c>
      <c r="H137" s="328">
        <v>41383.95</v>
      </c>
      <c r="I137" s="328">
        <v>41383.95</v>
      </c>
      <c r="J137" s="328">
        <v>41383.95</v>
      </c>
      <c r="K137" s="328">
        <v>41383.95</v>
      </c>
      <c r="L137" s="328">
        <v>41383.95</v>
      </c>
      <c r="M137" s="328">
        <v>41383.95</v>
      </c>
      <c r="N137" s="328">
        <v>41383.95</v>
      </c>
      <c r="O137" s="328">
        <v>41383.95</v>
      </c>
      <c r="P137" s="328">
        <f t="shared" ref="P137:P142" si="24">SUM(D137:O137)</f>
        <v>496607.4</v>
      </c>
    </row>
    <row r="138" ht="16.5" spans="3:16">
      <c r="C138" s="104" t="s">
        <v>120</v>
      </c>
      <c r="D138" s="328">
        <v>479627.63</v>
      </c>
      <c r="E138" s="328">
        <v>479627.63</v>
      </c>
      <c r="F138" s="328">
        <v>479627.63</v>
      </c>
      <c r="G138" s="328">
        <v>479627.63</v>
      </c>
      <c r="H138" s="328">
        <v>479627.63</v>
      </c>
      <c r="I138" s="328">
        <v>479627.63</v>
      </c>
      <c r="J138" s="328">
        <v>479627.63</v>
      </c>
      <c r="K138" s="328">
        <v>479627.63</v>
      </c>
      <c r="L138" s="328">
        <v>479627.63</v>
      </c>
      <c r="M138" s="328">
        <v>479627.63</v>
      </c>
      <c r="N138" s="328">
        <v>479627.63</v>
      </c>
      <c r="O138" s="328">
        <v>479627.63</v>
      </c>
      <c r="P138" s="328">
        <f t="shared" si="24"/>
        <v>5755531.56</v>
      </c>
    </row>
    <row r="139" ht="16.5" spans="3:16">
      <c r="C139" s="104" t="s">
        <v>121</v>
      </c>
      <c r="D139" s="328">
        <v>-4360</v>
      </c>
      <c r="E139" s="328">
        <v>-4360</v>
      </c>
      <c r="F139" s="328">
        <f>-4000+720</f>
        <v>-3280</v>
      </c>
      <c r="G139" s="328">
        <v>-4000</v>
      </c>
      <c r="H139" s="328">
        <v>-4000</v>
      </c>
      <c r="I139" s="328">
        <v>-4000</v>
      </c>
      <c r="J139" s="328">
        <v>-4000</v>
      </c>
      <c r="K139" s="328">
        <v>-4000</v>
      </c>
      <c r="L139" s="328">
        <v>-4000</v>
      </c>
      <c r="M139" s="328">
        <v>-4000</v>
      </c>
      <c r="N139" s="328">
        <v>-4000</v>
      </c>
      <c r="O139" s="328">
        <v>-4000</v>
      </c>
      <c r="P139" s="328">
        <f t="shared" si="24"/>
        <v>-48000</v>
      </c>
    </row>
    <row r="140" ht="16.5" spans="3:16">
      <c r="C140" s="329" t="s">
        <v>12</v>
      </c>
      <c r="D140" s="330">
        <f>SUM(D136:D139)</f>
        <v>422311.96</v>
      </c>
      <c r="E140" s="330">
        <f>SUM(E136:E139)</f>
        <v>422311.96</v>
      </c>
      <c r="F140" s="330">
        <f>SUM(F136:F139)</f>
        <v>423391.96</v>
      </c>
      <c r="G140" s="330">
        <f t="shared" ref="G140:O140" si="25">SUM(G136:G139)</f>
        <v>422671.96</v>
      </c>
      <c r="H140" s="330">
        <f t="shared" si="25"/>
        <v>422671.96</v>
      </c>
      <c r="I140" s="330">
        <f t="shared" si="25"/>
        <v>422671.96</v>
      </c>
      <c r="J140" s="330">
        <f t="shared" si="25"/>
        <v>422671.96</v>
      </c>
      <c r="K140" s="330">
        <f t="shared" si="25"/>
        <v>422671.96</v>
      </c>
      <c r="L140" s="330">
        <f t="shared" si="25"/>
        <v>422671.96</v>
      </c>
      <c r="M140" s="330">
        <f t="shared" si="25"/>
        <v>422671.96</v>
      </c>
      <c r="N140" s="330">
        <f t="shared" si="25"/>
        <v>422671.96</v>
      </c>
      <c r="O140" s="330">
        <f t="shared" si="25"/>
        <v>422671.96</v>
      </c>
      <c r="P140" s="330">
        <f t="shared" si="24"/>
        <v>5072063.52</v>
      </c>
    </row>
    <row r="141" ht="16.5" spans="3:16">
      <c r="C141" s="104" t="s">
        <v>208</v>
      </c>
      <c r="D141" s="328">
        <v>176501.04</v>
      </c>
      <c r="E141" s="328">
        <v>176501.04</v>
      </c>
      <c r="F141" s="328">
        <v>176501.04</v>
      </c>
      <c r="G141" s="328">
        <v>176501.04</v>
      </c>
      <c r="H141" s="328">
        <v>176501.04</v>
      </c>
      <c r="I141" s="328">
        <v>176501.04</v>
      </c>
      <c r="J141" s="328">
        <v>176501.04</v>
      </c>
      <c r="K141" s="328">
        <v>176501.04</v>
      </c>
      <c r="L141" s="328">
        <v>176501.04</v>
      </c>
      <c r="M141" s="328">
        <v>176501.04</v>
      </c>
      <c r="N141" s="328">
        <v>176501.04</v>
      </c>
      <c r="O141" s="328">
        <v>176501.04</v>
      </c>
      <c r="P141" s="328">
        <f t="shared" si="24"/>
        <v>2118012.48</v>
      </c>
    </row>
    <row r="142" ht="16.5" spans="3:16">
      <c r="C142" s="104" t="s">
        <v>209</v>
      </c>
      <c r="D142" s="328">
        <v>245810.92</v>
      </c>
      <c r="E142" s="328">
        <v>245810.92</v>
      </c>
      <c r="F142" s="328">
        <f>245810.92+360+720</f>
        <v>246890.92</v>
      </c>
      <c r="G142" s="328">
        <f t="shared" ref="G142:O142" si="26">245810.92+360</f>
        <v>246170.92</v>
      </c>
      <c r="H142" s="328">
        <f t="shared" si="26"/>
        <v>246170.92</v>
      </c>
      <c r="I142" s="328">
        <f t="shared" si="26"/>
        <v>246170.92</v>
      </c>
      <c r="J142" s="328">
        <f t="shared" si="26"/>
        <v>246170.92</v>
      </c>
      <c r="K142" s="328">
        <f t="shared" si="26"/>
        <v>246170.92</v>
      </c>
      <c r="L142" s="328">
        <f t="shared" si="26"/>
        <v>246170.92</v>
      </c>
      <c r="M142" s="328">
        <f t="shared" si="26"/>
        <v>246170.92</v>
      </c>
      <c r="N142" s="328">
        <f t="shared" si="26"/>
        <v>246170.92</v>
      </c>
      <c r="O142" s="328">
        <f t="shared" si="26"/>
        <v>246170.92</v>
      </c>
      <c r="P142" s="328">
        <f t="shared" si="24"/>
        <v>2954051.04</v>
      </c>
    </row>
    <row r="143" ht="16.5" spans="3:16">
      <c r="C143" s="329" t="s">
        <v>13</v>
      </c>
      <c r="D143" s="331">
        <f>D142+D141-D140</f>
        <v>0</v>
      </c>
      <c r="E143" s="331">
        <f t="shared" ref="E143:P143" si="27">E142+E141-E140</f>
        <v>0</v>
      </c>
      <c r="F143" s="331">
        <f t="shared" si="27"/>
        <v>0</v>
      </c>
      <c r="G143" s="331">
        <f t="shared" si="27"/>
        <v>0</v>
      </c>
      <c r="H143" s="331">
        <f t="shared" si="27"/>
        <v>0</v>
      </c>
      <c r="I143" s="331">
        <f t="shared" si="27"/>
        <v>0</v>
      </c>
      <c r="J143" s="331">
        <f t="shared" si="27"/>
        <v>0</v>
      </c>
      <c r="K143" s="331">
        <f t="shared" si="27"/>
        <v>0</v>
      </c>
      <c r="L143" s="331">
        <f t="shared" si="27"/>
        <v>0</v>
      </c>
      <c r="M143" s="331">
        <f t="shared" si="27"/>
        <v>0</v>
      </c>
      <c r="N143" s="331">
        <f t="shared" si="27"/>
        <v>0</v>
      </c>
      <c r="O143" s="331">
        <f t="shared" si="27"/>
        <v>0</v>
      </c>
      <c r="P143" s="331">
        <f t="shared" si="27"/>
        <v>0</v>
      </c>
    </row>
  </sheetData>
  <autoFilter ref="A5:S99">
    <extLst/>
  </autoFilter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C101">
    <cfRule type="cellIs" dxfId="0" priority="1" stopIfTrue="1" operator="equal">
      <formula>"no"</formula>
    </cfRule>
  </conditionalFormatting>
  <conditionalFormatting sqref="A101:B101 D101:AB101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200" verticalDpi="300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3" style="10" customWidth="1"/>
    <col min="8" max="12" width="11.5" style="10" customWidth="1"/>
    <col min="13" max="15" width="12.75" style="10" customWidth="1"/>
    <col min="16" max="16" width="17.2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210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">
        <v>211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f>2192164.63+2100</f>
        <v>2194264.63</v>
      </c>
      <c r="E6" s="260">
        <f>2024097.9+113940</f>
        <v>2138037.9</v>
      </c>
      <c r="F6" s="260">
        <f>1911873.91+7600</f>
        <v>1919473.91</v>
      </c>
      <c r="G6" s="260">
        <v>1795756.69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8047533.13</v>
      </c>
      <c r="Q6" s="48">
        <f>P6+P7+P8+P19+P22+P23+P24+P25+P26</f>
        <v>10805177.85</v>
      </c>
      <c r="R6" s="48">
        <f>Q6+'X-高新'!Q6+'Z-高新'!Q6+'Y-高新'!Q6</f>
        <v>10805177.85</v>
      </c>
      <c r="S6" s="48">
        <f>R6/10000</f>
        <v>1080.517785</v>
      </c>
    </row>
    <row r="7" s="5" customFormat="1" ht="17.25" customHeight="1" spans="1:16">
      <c r="A7" s="199"/>
      <c r="B7" s="23"/>
      <c r="C7" s="20" t="s">
        <v>71</v>
      </c>
      <c r="D7" s="21">
        <v>207184.15</v>
      </c>
      <c r="E7" s="260">
        <v>503493</v>
      </c>
      <c r="F7" s="260">
        <v>376315</v>
      </c>
      <c r="G7" s="260">
        <v>592540.68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1679532.83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28364.29</v>
      </c>
      <c r="E8" s="260">
        <v>55864.29</v>
      </c>
      <c r="F8" s="260">
        <v>14590.87</v>
      </c>
      <c r="G8" s="260">
        <v>58363.18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157182.63</v>
      </c>
    </row>
    <row r="9" s="5" customFormat="1" ht="17.25" customHeight="1" spans="1:16">
      <c r="A9" s="199"/>
      <c r="B9" s="19" t="s">
        <v>73</v>
      </c>
      <c r="C9" s="20" t="s">
        <v>73</v>
      </c>
      <c r="D9" s="21">
        <v>3500</v>
      </c>
      <c r="E9" s="260">
        <v>2500</v>
      </c>
      <c r="F9" s="260">
        <v>3300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9300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v>21207.09</v>
      </c>
      <c r="E10" s="260">
        <v>-63059</v>
      </c>
      <c r="F10" s="260">
        <v>119907.31</v>
      </c>
      <c r="G10" s="260">
        <v>92519.32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170574.72</v>
      </c>
    </row>
    <row r="11" s="5" customFormat="1" ht="17.25" customHeight="1" spans="1:16">
      <c r="A11" s="199"/>
      <c r="B11" s="24"/>
      <c r="C11" s="25" t="s">
        <v>76</v>
      </c>
      <c r="D11" s="21">
        <v>33900.21</v>
      </c>
      <c r="E11" s="260">
        <v>84949.56</v>
      </c>
      <c r="F11" s="260">
        <v>69762.2</v>
      </c>
      <c r="G11" s="260">
        <v>30546.63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219158.6</v>
      </c>
    </row>
    <row r="12" s="5" customFormat="1" ht="17.25" customHeight="1" spans="1:16">
      <c r="A12" s="199"/>
      <c r="B12" s="24"/>
      <c r="C12" s="20" t="s">
        <v>77</v>
      </c>
      <c r="D12" s="21"/>
      <c r="E12" s="260">
        <v>0</v>
      </c>
      <c r="F12" s="260">
        <v>58390</v>
      </c>
      <c r="G12" s="260">
        <v>50790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109180</v>
      </c>
    </row>
    <row r="13" s="5" customFormat="1" ht="17.25" customHeight="1" spans="1:16">
      <c r="A13" s="199"/>
      <c r="B13" s="24"/>
      <c r="C13" s="25" t="s">
        <v>78</v>
      </c>
      <c r="D13" s="21"/>
      <c r="E13" s="260">
        <v>0</v>
      </c>
      <c r="F13" s="260">
        <v>-4.08562073062058e-14</v>
      </c>
      <c r="G13" s="260">
        <v>222.91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222.91</v>
      </c>
    </row>
    <row r="14" s="5" customFormat="1" ht="17.25" customHeight="1" spans="1:16">
      <c r="A14" s="199"/>
      <c r="B14" s="24"/>
      <c r="C14" s="20" t="s">
        <v>79</v>
      </c>
      <c r="D14" s="21">
        <v>1800</v>
      </c>
      <c r="E14" s="260">
        <v>1400</v>
      </c>
      <c r="F14" s="260">
        <v>1000</v>
      </c>
      <c r="G14" s="260">
        <v>2400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6600</v>
      </c>
    </row>
    <row r="15" s="5" customFormat="1" ht="17.25" customHeight="1" spans="1:16">
      <c r="A15" s="199"/>
      <c r="B15" s="24"/>
      <c r="C15" s="25" t="s">
        <v>80</v>
      </c>
      <c r="D15" s="21"/>
      <c r="E15" s="260">
        <v>0</v>
      </c>
      <c r="F15" s="260">
        <v>-1.70530256582424e-13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-1.70530256582424e-13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>
        <v>-2.8421709430404e-14</v>
      </c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-2.8421709430404e-14</v>
      </c>
    </row>
    <row r="17" s="5" customFormat="1" ht="17.25" customHeight="1" spans="1:16">
      <c r="A17" s="199"/>
      <c r="B17" s="24"/>
      <c r="C17" s="25" t="s">
        <v>82</v>
      </c>
      <c r="D17" s="21"/>
      <c r="E17" s="260">
        <v>0</v>
      </c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92" t="s">
        <v>212</v>
      </c>
      <c r="D18" s="21">
        <v>166964.4</v>
      </c>
      <c r="E18" s="260">
        <v>-62807.56</v>
      </c>
      <c r="F18" s="260">
        <v>205038.17</v>
      </c>
      <c r="G18" s="260">
        <v>105030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414225.01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88113</v>
      </c>
      <c r="E19" s="260">
        <v>96511</v>
      </c>
      <c r="F19" s="260">
        <v>115379</v>
      </c>
      <c r="G19" s="260">
        <v>74695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374698</v>
      </c>
    </row>
    <row r="20" s="5" customFormat="1" ht="17.25" customHeight="1" spans="1:16">
      <c r="A20" s="199"/>
      <c r="B20" s="19" t="s">
        <v>85</v>
      </c>
      <c r="C20" s="20" t="s">
        <v>85</v>
      </c>
      <c r="D20" s="21">
        <v>0</v>
      </c>
      <c r="E20" s="260">
        <v>0</v>
      </c>
      <c r="F20" s="260">
        <v>-8.5265128291212e-14</v>
      </c>
      <c r="G20" s="260">
        <v>0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-8.5265128291212e-14</v>
      </c>
    </row>
    <row r="21" s="5" customFormat="1" ht="17.25" customHeight="1" spans="1:16">
      <c r="A21" s="199"/>
      <c r="B21" s="19" t="s">
        <v>86</v>
      </c>
      <c r="C21" s="20" t="s">
        <v>86</v>
      </c>
      <c r="D21" s="21">
        <v>25060.42</v>
      </c>
      <c r="E21" s="260">
        <v>1205.09</v>
      </c>
      <c r="F21" s="260">
        <v>10696.74</v>
      </c>
      <c r="G21" s="260">
        <v>2196.77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39159.02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155390.48</v>
      </c>
      <c r="E22" s="260">
        <v>154646.66</v>
      </c>
      <c r="F22" s="260">
        <v>-118151.97</v>
      </c>
      <c r="G22" s="260">
        <v>-5747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186138.17</v>
      </c>
    </row>
    <row r="23" s="5" customFormat="1" ht="17.25" customHeight="1" spans="1:16">
      <c r="A23" s="199"/>
      <c r="B23" s="24"/>
      <c r="C23" s="25" t="s">
        <v>89</v>
      </c>
      <c r="D23" s="21">
        <v>2773.51</v>
      </c>
      <c r="E23" s="260">
        <v>2746.43</v>
      </c>
      <c r="F23" s="260">
        <v>-1839.91</v>
      </c>
      <c r="G23" s="260">
        <v>-87.76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3592.27</v>
      </c>
    </row>
    <row r="24" s="5" customFormat="1" ht="17.25" customHeight="1" spans="1:16">
      <c r="A24" s="199"/>
      <c r="B24" s="24"/>
      <c r="C24" s="25" t="s">
        <v>90</v>
      </c>
      <c r="D24" s="21">
        <v>4160.01</v>
      </c>
      <c r="E24" s="260">
        <v>4129.47</v>
      </c>
      <c r="F24" s="260">
        <v>-3533.91</v>
      </c>
      <c r="G24" s="260">
        <v>-131.64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4623.93</v>
      </c>
    </row>
    <row r="25" s="5" customFormat="1" ht="17.25" customHeight="1" spans="1:16">
      <c r="A25" s="199"/>
      <c r="B25" s="24"/>
      <c r="C25" s="25" t="s">
        <v>91</v>
      </c>
      <c r="D25" s="21">
        <v>98520.85</v>
      </c>
      <c r="E25" s="260">
        <v>98142.46</v>
      </c>
      <c r="F25" s="260">
        <v>54987.7</v>
      </c>
      <c r="G25" s="260">
        <v>51271.39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302922.4</v>
      </c>
    </row>
    <row r="26" s="5" customFormat="1" ht="17.25" customHeight="1" spans="1:16">
      <c r="A26" s="199"/>
      <c r="B26" s="23"/>
      <c r="C26" s="25" t="s">
        <v>92</v>
      </c>
      <c r="D26" s="21">
        <v>12751.64</v>
      </c>
      <c r="E26" s="260">
        <v>12704.11</v>
      </c>
      <c r="F26" s="260">
        <v>13452.91</v>
      </c>
      <c r="G26" s="260">
        <v>10045.83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48954.49</v>
      </c>
    </row>
    <row r="27" s="5" customFormat="1" ht="17.25" customHeight="1" spans="1:16">
      <c r="A27" s="200"/>
      <c r="B27" s="19" t="s">
        <v>93</v>
      </c>
      <c r="C27" s="20" t="s">
        <v>93</v>
      </c>
      <c r="D27" s="21">
        <v>104418.94</v>
      </c>
      <c r="E27" s="260">
        <v>0</v>
      </c>
      <c r="F27" s="260"/>
      <c r="G27" s="260">
        <v>14603.77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119022.71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>
        <v>252.84</v>
      </c>
      <c r="E28" s="260">
        <v>0</v>
      </c>
      <c r="F28" s="260">
        <v>1835.75</v>
      </c>
      <c r="G28" s="260">
        <v>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2088.59</v>
      </c>
    </row>
    <row r="29" s="5" customFormat="1" ht="17.25" customHeight="1" spans="1:16">
      <c r="A29" s="202"/>
      <c r="B29" s="23"/>
      <c r="C29" s="20" t="s">
        <v>97</v>
      </c>
      <c r="D29" s="21">
        <v>165.5</v>
      </c>
      <c r="E29" s="260">
        <v>0</v>
      </c>
      <c r="F29" s="260">
        <v>9599.46</v>
      </c>
      <c r="G29" s="260">
        <v>3853.81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13618.77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400</v>
      </c>
      <c r="E30" s="260">
        <v>0</v>
      </c>
      <c r="F30" s="260">
        <v>0</v>
      </c>
      <c r="G30" s="260">
        <v>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400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v>0</v>
      </c>
      <c r="E31" s="260">
        <v>7010.91</v>
      </c>
      <c r="F31" s="260">
        <v>3372.19</v>
      </c>
      <c r="G31" s="260">
        <v>3376.7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13759.8</v>
      </c>
    </row>
    <row r="32" s="5" customFormat="1" ht="17.25" customHeight="1" spans="1:16">
      <c r="A32" s="202"/>
      <c r="B32" s="24"/>
      <c r="C32" s="25" t="s">
        <v>101</v>
      </c>
      <c r="D32" s="21">
        <v>10285.4</v>
      </c>
      <c r="E32" s="260">
        <v>12452.79</v>
      </c>
      <c r="F32" s="260">
        <v>13616.22</v>
      </c>
      <c r="G32" s="260">
        <v>13821.06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50175.47</v>
      </c>
    </row>
    <row r="33" s="5" customFormat="1" ht="17.25" customHeight="1" spans="1:16">
      <c r="A33" s="202"/>
      <c r="B33" s="23"/>
      <c r="C33" s="20" t="s">
        <v>102</v>
      </c>
      <c r="D33" s="21">
        <v>19395.38</v>
      </c>
      <c r="E33" s="260">
        <v>200</v>
      </c>
      <c r="F33" s="260">
        <v>1267.43</v>
      </c>
      <c r="G33" s="260">
        <v>1120.6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21983.41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42226.34</v>
      </c>
      <c r="E34" s="260">
        <v>-6473.96</v>
      </c>
      <c r="F34" s="260">
        <v>57103.86</v>
      </c>
      <c r="G34" s="260">
        <v>26752.93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119609.17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8315.9</v>
      </c>
      <c r="E36" s="260">
        <v>5547.94</v>
      </c>
      <c r="F36" s="260">
        <v>2844.53</v>
      </c>
      <c r="G36" s="260">
        <v>16987.65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33696.02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123790.45</v>
      </c>
      <c r="E37" s="260">
        <v>87317.5</v>
      </c>
      <c r="F37" s="260">
        <v>658470.54</v>
      </c>
      <c r="G37" s="260">
        <v>26557.34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896135.83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>
        <v>0</v>
      </c>
      <c r="E38" s="260">
        <v>0</v>
      </c>
      <c r="F38" s="260"/>
      <c r="G38" s="260">
        <v>4000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4000</v>
      </c>
    </row>
    <row r="39" s="5" customFormat="1" ht="17.25" customHeight="1" spans="1:16">
      <c r="A39" s="202"/>
      <c r="B39" s="23"/>
      <c r="C39" s="25" t="s">
        <v>110</v>
      </c>
      <c r="D39" s="21">
        <v>4130.11</v>
      </c>
      <c r="E39" s="260">
        <v>1618.65</v>
      </c>
      <c r="F39" s="260">
        <v>11.81</v>
      </c>
      <c r="G39" s="260">
        <v>-5375.57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385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>
        <v>15947.81</v>
      </c>
      <c r="E40" s="260">
        <v>-16000</v>
      </c>
      <c r="F40" s="260">
        <v>27092.1</v>
      </c>
      <c r="G40" s="260">
        <v>2813.2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29853.11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15289.02</v>
      </c>
      <c r="E41" s="260">
        <v>654.19</v>
      </c>
      <c r="F41" s="260">
        <v>1248.15</v>
      </c>
      <c r="G41" s="260">
        <v>15611.05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32802.41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>
        <v>29200.94</v>
      </c>
      <c r="E42" s="260">
        <v>16452.2</v>
      </c>
      <c r="F42" s="260">
        <v>47403.04</v>
      </c>
      <c r="G42" s="260">
        <v>40688.82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133745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v>10275</v>
      </c>
      <c r="E43" s="260">
        <v>194167.23</v>
      </c>
      <c r="F43" s="260">
        <v>183755.21</v>
      </c>
      <c r="G43" s="260">
        <v>-90243.65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297953.79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>
        <v>0</v>
      </c>
      <c r="E44" s="260">
        <v>0</v>
      </c>
      <c r="F44" s="260"/>
      <c r="G44" s="260">
        <v>0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>
        <v>0</v>
      </c>
      <c r="E45" s="260">
        <v>0</v>
      </c>
      <c r="F45" s="260"/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111586.85</v>
      </c>
      <c r="E46" s="260">
        <v>172257.5</v>
      </c>
      <c r="F46" s="260">
        <v>132690.03</v>
      </c>
      <c r="G46" s="260">
        <v>132311.67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548846.05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243555.28</v>
      </c>
      <c r="E47" s="260">
        <v>247199.83</v>
      </c>
      <c r="F47" s="260">
        <v>170951.57</v>
      </c>
      <c r="G47" s="260">
        <v>170951.58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832658.26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>
        <v>191215.93</v>
      </c>
      <c r="E48" s="260">
        <v>202165.95</v>
      </c>
      <c r="F48" s="260">
        <v>216917.7</v>
      </c>
      <c r="G48" s="260">
        <v>211716.17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822015.75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>
        <v>36137.62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36137.62</v>
      </c>
    </row>
    <row r="50" s="5" customFormat="1" ht="17.25" customHeight="1" spans="1:16">
      <c r="A50" s="211"/>
      <c r="B50" s="38"/>
      <c r="C50" s="207" t="s">
        <v>125</v>
      </c>
      <c r="D50" s="21"/>
      <c r="E50" s="260">
        <v>0</v>
      </c>
      <c r="F50" s="260"/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>
        <v>1660.67999999983</v>
      </c>
      <c r="E52" s="260">
        <v>30565.52</v>
      </c>
      <c r="F52" s="260">
        <v>10138.17</v>
      </c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42364.3699999998</v>
      </c>
    </row>
    <row r="53" s="5" customFormat="1" ht="17.25" customHeight="1" spans="1:16">
      <c r="A53" s="211"/>
      <c r="B53" s="24"/>
      <c r="C53" s="207" t="s">
        <v>128</v>
      </c>
      <c r="D53" s="21">
        <v>7087.74</v>
      </c>
      <c r="E53" s="260"/>
      <c r="F53" s="260">
        <v>8000</v>
      </c>
      <c r="G53" s="260">
        <v>4000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19087.74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>
        <v>0</v>
      </c>
      <c r="F55" s="260"/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>
        <v>0</v>
      </c>
      <c r="F56" s="260"/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>
        <v>931</v>
      </c>
      <c r="E57" s="260">
        <v>0</v>
      </c>
      <c r="F57" s="260"/>
      <c r="G57" s="260">
        <v>776.68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1707.68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>
        <v>0</v>
      </c>
      <c r="F58" s="260"/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>
        <v>64188.68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64188.68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>
        <v>0</v>
      </c>
      <c r="F61" s="260"/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>
        <v>0</v>
      </c>
      <c r="F62" s="260"/>
      <c r="G62" s="260">
        <v>3051.17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3051.17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>
        <v>0</v>
      </c>
      <c r="F63" s="260"/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>
        <v>9061.79</v>
      </c>
      <c r="E64" s="260">
        <v>4234.87</v>
      </c>
      <c r="F64" s="260">
        <v>5552</v>
      </c>
      <c r="G64" s="260">
        <v>-6404.51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12444.15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>
        <v>48388.12</v>
      </c>
      <c r="E65" s="260">
        <v>39286.33</v>
      </c>
      <c r="F65" s="260">
        <v>50170.76</v>
      </c>
      <c r="G65" s="260">
        <v>10393.56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148238.77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>
        <v>0</v>
      </c>
      <c r="E66" s="260">
        <v>6017.7</v>
      </c>
      <c r="F66" s="260">
        <v>6025.29</v>
      </c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12042.99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>
        <v>20523.69</v>
      </c>
      <c r="E67" s="260">
        <v>16291.86</v>
      </c>
      <c r="F67" s="260">
        <v>21423.5</v>
      </c>
      <c r="G67" s="260">
        <v>-18441.69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39797.36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>
        <v>2060</v>
      </c>
      <c r="F68" s="260"/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2060</v>
      </c>
    </row>
    <row r="69" s="5" customFormat="1" ht="17.25" customHeight="1" spans="1:16">
      <c r="A69" s="217"/>
      <c r="B69" s="39"/>
      <c r="C69" s="207" t="s">
        <v>146</v>
      </c>
      <c r="D69" s="21">
        <v>0</v>
      </c>
      <c r="E69" s="260">
        <v>0</v>
      </c>
      <c r="F69" s="260"/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2177.18</v>
      </c>
      <c r="E70" s="260">
        <v>13726.82</v>
      </c>
      <c r="F70" s="260">
        <v>11876.41</v>
      </c>
      <c r="G70" s="260">
        <v>9253.74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37034.15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>
        <v>0</v>
      </c>
      <c r="F74" s="260"/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>
        <v>0</v>
      </c>
      <c r="F75" s="260"/>
      <c r="G75" s="260">
        <v>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>
        <v>5361.33</v>
      </c>
      <c r="E76" s="260">
        <v>6640</v>
      </c>
      <c r="F76" s="260">
        <v>336654.63</v>
      </c>
      <c r="G76" s="260">
        <v>84905.66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433561.62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>
        <v>62199.72</v>
      </c>
      <c r="F77" s="260">
        <v>118496.36</v>
      </c>
      <c r="G77" s="260">
        <v>19950.84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200646.92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>
        <v>19989.01</v>
      </c>
      <c r="E79" s="260">
        <v>-19996</v>
      </c>
      <c r="F79" s="260"/>
      <c r="G79" s="260">
        <v>11867.7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11860.71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v>602.4</v>
      </c>
      <c r="E80" s="260">
        <v>1278.51</v>
      </c>
      <c r="F80" s="260">
        <v>10654.56</v>
      </c>
      <c r="G80" s="260">
        <v>68345.09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80880.56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v>876.99</v>
      </c>
      <c r="E81" s="260">
        <v>-10539.49</v>
      </c>
      <c r="F81" s="260">
        <v>3314.79</v>
      </c>
      <c r="G81" s="260">
        <v>138871.03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132523.32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>
        <v>6154.55</v>
      </c>
      <c r="E82" s="260">
        <v>10106.36</v>
      </c>
      <c r="F82" s="260">
        <v>4752.48</v>
      </c>
      <c r="G82" s="260">
        <v>1560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22573.39</v>
      </c>
    </row>
    <row r="83" s="5" customFormat="1" ht="17.25" customHeight="1" spans="1:16">
      <c r="A83" s="224"/>
      <c r="B83" s="24"/>
      <c r="C83" s="25" t="s">
        <v>165</v>
      </c>
      <c r="D83" s="21">
        <v>10300</v>
      </c>
      <c r="E83" s="260">
        <v>1690</v>
      </c>
      <c r="F83" s="260">
        <v>3909.91</v>
      </c>
      <c r="G83" s="260">
        <v>6772.46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22672.37</v>
      </c>
    </row>
    <row r="84" s="5" customFormat="1" ht="17.25" customHeight="1" spans="1:16">
      <c r="A84" s="224"/>
      <c r="B84" s="23"/>
      <c r="C84" s="25" t="s">
        <v>166</v>
      </c>
      <c r="D84" s="21">
        <v>0</v>
      </c>
      <c r="E84" s="260">
        <v>0</v>
      </c>
      <c r="F84" s="260"/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>
        <v>0</v>
      </c>
      <c r="E85" s="260">
        <v>0</v>
      </c>
      <c r="F85" s="260">
        <v>13960</v>
      </c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13960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>
        <v>124739.62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124739.62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>
        <v>0</v>
      </c>
      <c r="E87" s="260">
        <v>5660.38</v>
      </c>
      <c r="F87" s="260"/>
      <c r="G87" s="260">
        <v>397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6057.38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>
        <v>0</v>
      </c>
      <c r="E88" s="260">
        <v>0</v>
      </c>
      <c r="F88" s="260">
        <v>3107.93</v>
      </c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3107.93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>
        <v>242120.48</v>
      </c>
      <c r="E89" s="260">
        <v>-25614.82</v>
      </c>
      <c r="F89" s="260">
        <v>32527.12</v>
      </c>
      <c r="G89" s="260">
        <v>31364.79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280397.57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>
        <v>3299715.03</v>
      </c>
      <c r="E91" s="260">
        <v>2788447.09</v>
      </c>
      <c r="F91" s="260">
        <v>4081798.34</v>
      </c>
      <c r="G91" s="260">
        <v>5888887.31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16058847.77</v>
      </c>
    </row>
    <row r="92" s="5" customFormat="1" ht="17.25" customHeight="1" spans="1:16">
      <c r="A92" s="231"/>
      <c r="B92" s="26" t="s">
        <v>83</v>
      </c>
      <c r="C92" s="207" t="s">
        <v>83</v>
      </c>
      <c r="D92" s="21">
        <v>120587.75</v>
      </c>
      <c r="E92" s="260">
        <v>190045.02</v>
      </c>
      <c r="F92" s="260">
        <f>152923.97-4745.88</f>
        <v>148178.09</v>
      </c>
      <c r="G92" s="87">
        <v>152678.28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611489.14</v>
      </c>
    </row>
    <row r="93" s="6" customFormat="1" ht="20.25" customHeight="1" spans="1:16">
      <c r="A93" s="232" t="s">
        <v>12</v>
      </c>
      <c r="B93" s="234"/>
      <c r="C93" s="308"/>
      <c r="D93" s="58">
        <f>SUM(D6:D92)</f>
        <v>7769944.11</v>
      </c>
      <c r="E93" s="58">
        <f>SUM(E6:E92)</f>
        <v>7077134.01</v>
      </c>
      <c r="F93" s="58">
        <f>SUM(F6:F92)</f>
        <v>9237487.95</v>
      </c>
      <c r="G93" s="58">
        <f t="shared" ref="G93:O93" si="2">SUM(G6:G92)</f>
        <v>10083254.16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>SUM(P6:P92)</f>
        <v>34167820.23</v>
      </c>
    </row>
    <row r="94" s="7" customFormat="1" ht="21.75" customHeight="1" spans="1:16">
      <c r="A94" s="93" t="s">
        <v>176</v>
      </c>
      <c r="B94" s="94"/>
      <c r="C94" s="95"/>
      <c r="D94" s="46">
        <v>1519779.31</v>
      </c>
      <c r="E94" s="46">
        <v>1297723.63</v>
      </c>
      <c r="F94" s="260">
        <v>1841083.275</v>
      </c>
      <c r="G94" s="267">
        <v>2514352.18000001</v>
      </c>
      <c r="H94" s="267"/>
      <c r="I94" s="267"/>
      <c r="J94" s="267"/>
      <c r="K94" s="236"/>
      <c r="L94" s="236"/>
      <c r="M94" s="236"/>
      <c r="N94" s="236"/>
      <c r="O94" s="236"/>
      <c r="P94" s="47">
        <f t="shared" si="1"/>
        <v>7172938.39500001</v>
      </c>
    </row>
    <row r="95" s="7" customFormat="1" ht="21.75" customHeight="1" spans="1:16">
      <c r="A95" s="93" t="s">
        <v>177</v>
      </c>
      <c r="B95" s="94"/>
      <c r="C95" s="95"/>
      <c r="D95" s="46">
        <v>1519779.31</v>
      </c>
      <c r="E95" s="46">
        <v>1297723.63</v>
      </c>
      <c r="F95" s="260">
        <v>1841083.275</v>
      </c>
      <c r="G95" s="267">
        <v>2514352.18000001</v>
      </c>
      <c r="H95" s="267"/>
      <c r="I95" s="267"/>
      <c r="J95" s="267"/>
      <c r="K95" s="236"/>
      <c r="L95" s="236"/>
      <c r="M95" s="236"/>
      <c r="N95" s="236"/>
      <c r="O95" s="236"/>
      <c r="P95" s="47">
        <f t="shared" si="1"/>
        <v>7172938.39500001</v>
      </c>
    </row>
    <row r="96" s="7" customFormat="1" ht="21.75" customHeight="1" spans="1:16">
      <c r="A96" s="93" t="s">
        <v>178</v>
      </c>
      <c r="B96" s="94"/>
      <c r="C96" s="95"/>
      <c r="D96" s="46">
        <v>1411312.61</v>
      </c>
      <c r="E96" s="46">
        <v>1248101.61</v>
      </c>
      <c r="F96" s="260">
        <v>1281208.16</v>
      </c>
      <c r="G96" s="267">
        <v>1735049.07</v>
      </c>
      <c r="H96" s="267"/>
      <c r="I96" s="267"/>
      <c r="J96" s="267"/>
      <c r="K96" s="236"/>
      <c r="L96" s="236"/>
      <c r="M96" s="236"/>
      <c r="N96" s="236"/>
      <c r="O96" s="236"/>
      <c r="P96" s="47">
        <f t="shared" si="1"/>
        <v>5675671.45</v>
      </c>
    </row>
    <row r="97" s="7" customFormat="1" ht="21.75" customHeight="1" spans="1:16">
      <c r="A97" s="93" t="s">
        <v>179</v>
      </c>
      <c r="B97" s="94"/>
      <c r="C97" s="95"/>
      <c r="E97" s="74"/>
      <c r="F97" s="260"/>
      <c r="G97" s="267"/>
      <c r="H97" s="267"/>
      <c r="I97" s="267"/>
      <c r="J97" s="267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93" t="s">
        <v>180</v>
      </c>
      <c r="B98" s="94"/>
      <c r="C98" s="95"/>
      <c r="D98" s="46">
        <v>3319072.88</v>
      </c>
      <c r="E98" s="46">
        <v>3233585.14</v>
      </c>
      <c r="F98" s="260">
        <v>4274113.24000001</v>
      </c>
      <c r="G98" s="267">
        <v>3319500.73</v>
      </c>
      <c r="H98" s="267"/>
      <c r="I98" s="267"/>
      <c r="J98" s="267"/>
      <c r="K98" s="236"/>
      <c r="L98" s="236"/>
      <c r="M98" s="236"/>
      <c r="N98" s="236"/>
      <c r="O98" s="236"/>
      <c r="P98" s="47">
        <f t="shared" si="1"/>
        <v>14146271.99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F100" si="3">IF(SUM(E94:E98)=E93,"ok","no")</f>
        <v>ok</v>
      </c>
      <c r="F100" s="90" t="str">
        <f t="shared" si="3"/>
        <v>no</v>
      </c>
      <c r="G100" s="90" t="str">
        <f t="shared" ref="G100:P100" si="4">IF(SUM(G94:G98)=G93,"ok","no")</f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4">
      <c r="D101" s="259"/>
    </row>
    <row r="103" spans="4:16">
      <c r="D103" s="68"/>
      <c r="E103" s="157"/>
      <c r="P103" s="242">
        <v>32288242.86</v>
      </c>
    </row>
    <row r="104" spans="16:16">
      <c r="P104" s="80">
        <f>P103-P93</f>
        <v>-1879577.37</v>
      </c>
    </row>
    <row r="105" s="6" customFormat="1" ht="12" spans="4:11">
      <c r="D105" s="241"/>
      <c r="E105" s="241"/>
      <c r="F105" s="241"/>
      <c r="K105" s="157">
        <f>J91+K91+L91</f>
        <v>0</v>
      </c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autoFilter ref="A5:S101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5.25" style="10" customWidth="1"/>
    <col min="8" max="12" width="11.5" style="10" customWidth="1"/>
    <col min="13" max="15" width="12.75" style="10" customWidth="1"/>
    <col min="16" max="16" width="6.5" style="10" customWidth="1"/>
    <col min="17" max="17" width="9" style="10"/>
    <col min="18" max="18" width="18.2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213</v>
      </c>
      <c r="B1" s="69"/>
      <c r="C1" s="69"/>
      <c r="D1" s="69"/>
      <c r="E1" s="6"/>
      <c r="F1" s="6"/>
    </row>
    <row r="2" s="2" customFormat="1" spans="1:6">
      <c r="A2" s="2" t="s">
        <v>64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f>17618.92+8400</f>
        <v>26018.92</v>
      </c>
      <c r="E6" s="260">
        <f>46854.46+8400</f>
        <v>55254.46</v>
      </c>
      <c r="F6" s="260">
        <f>50936.89+8400</f>
        <v>59336.89</v>
      </c>
      <c r="G6" s="260">
        <v>45540.34</v>
      </c>
      <c r="H6" s="260"/>
      <c r="I6" s="46"/>
      <c r="J6" s="260"/>
      <c r="K6" s="260"/>
      <c r="L6" s="260"/>
      <c r="M6" s="260"/>
      <c r="N6" s="260"/>
      <c r="O6" s="260"/>
      <c r="P6" s="47">
        <f>SUM(D6:O6)</f>
        <v>186150.61</v>
      </c>
      <c r="Q6" s="48">
        <f>P6+P7+P8+P19+P22+P23+P24+P25+P26</f>
        <v>393702.87</v>
      </c>
      <c r="R6" s="48">
        <f>Q6+'X-有机硅'!Q6+'Z-有机硅'!Q6+'Y-有机硅'!Q6</f>
        <v>224130.68</v>
      </c>
      <c r="S6" s="5">
        <f>R6/10000</f>
        <v>22.413068</v>
      </c>
    </row>
    <row r="7" s="5" customFormat="1" spans="1:16">
      <c r="A7" s="199"/>
      <c r="B7" s="23"/>
      <c r="C7" s="20" t="s">
        <v>71</v>
      </c>
      <c r="D7" s="21">
        <v>158923.18</v>
      </c>
      <c r="E7" s="260">
        <v>4287</v>
      </c>
      <c r="F7" s="260">
        <v>4287</v>
      </c>
      <c r="G7" s="260">
        <v>3829</v>
      </c>
      <c r="H7" s="260"/>
      <c r="I7" s="46"/>
      <c r="J7" s="260"/>
      <c r="K7" s="260"/>
      <c r="L7" s="260"/>
      <c r="M7" s="260"/>
      <c r="N7" s="260"/>
      <c r="O7" s="260"/>
      <c r="P7" s="47">
        <f t="shared" ref="P7:P70" si="0">SUM(D7:O7)</f>
        <v>171326.18</v>
      </c>
    </row>
    <row r="8" s="5" customFormat="1" spans="1:16">
      <c r="A8" s="199"/>
      <c r="B8" s="19" t="s">
        <v>72</v>
      </c>
      <c r="C8" s="20" t="s">
        <v>72</v>
      </c>
      <c r="D8" s="21">
        <v>5672.86</v>
      </c>
      <c r="E8" s="260">
        <v>-5700</v>
      </c>
      <c r="F8" s="260">
        <v>-8800</v>
      </c>
      <c r="G8" s="260">
        <v>8301.89</v>
      </c>
      <c r="H8" s="260"/>
      <c r="I8" s="46"/>
      <c r="J8" s="260"/>
      <c r="K8" s="260"/>
      <c r="L8" s="260"/>
      <c r="M8" s="260"/>
      <c r="N8" s="260"/>
      <c r="O8" s="260"/>
      <c r="P8" s="47">
        <f t="shared" si="0"/>
        <v>-525.25</v>
      </c>
    </row>
    <row r="9" s="5" customFormat="1" spans="1:16">
      <c r="A9" s="199"/>
      <c r="B9" s="19" t="s">
        <v>73</v>
      </c>
      <c r="C9" s="20" t="s">
        <v>73</v>
      </c>
      <c r="D9" s="21"/>
      <c r="E9" s="260" t="s">
        <v>214</v>
      </c>
      <c r="F9" s="260">
        <v>0</v>
      </c>
      <c r="G9" s="260">
        <v>0</v>
      </c>
      <c r="H9" s="260"/>
      <c r="I9" s="46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>
        <v>-2379.5</v>
      </c>
      <c r="E10" s="260">
        <v>-14186.7</v>
      </c>
      <c r="F10" s="260">
        <v>-896.7</v>
      </c>
      <c r="G10" s="260">
        <v>-1347.6</v>
      </c>
      <c r="H10" s="260"/>
      <c r="I10" s="46"/>
      <c r="J10" s="260"/>
      <c r="K10" s="260"/>
      <c r="L10" s="260"/>
      <c r="M10" s="260"/>
      <c r="N10" s="260"/>
      <c r="O10" s="260"/>
      <c r="P10" s="47">
        <f t="shared" si="0"/>
        <v>-18810.5</v>
      </c>
    </row>
    <row r="11" s="5" customFormat="1" spans="1:16">
      <c r="A11" s="199"/>
      <c r="B11" s="24"/>
      <c r="C11" s="25" t="s">
        <v>76</v>
      </c>
      <c r="D11" s="21"/>
      <c r="E11" s="260"/>
      <c r="F11" s="260">
        <v>0</v>
      </c>
      <c r="G11" s="260">
        <v>0</v>
      </c>
      <c r="H11" s="260"/>
      <c r="I11" s="46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/>
      <c r="F12" s="260">
        <v>1330</v>
      </c>
      <c r="G12" s="260">
        <v>1290</v>
      </c>
      <c r="H12" s="260"/>
      <c r="I12" s="46"/>
      <c r="J12" s="260"/>
      <c r="K12" s="260"/>
      <c r="L12" s="260"/>
      <c r="M12" s="260"/>
      <c r="N12" s="260"/>
      <c r="O12" s="260"/>
      <c r="P12" s="47">
        <f t="shared" si="0"/>
        <v>2620</v>
      </c>
    </row>
    <row r="13" s="5" customFormat="1" spans="1:16">
      <c r="A13" s="199"/>
      <c r="B13" s="24"/>
      <c r="C13" s="25" t="s">
        <v>78</v>
      </c>
      <c r="D13" s="21"/>
      <c r="E13" s="260"/>
      <c r="F13" s="260">
        <v>0</v>
      </c>
      <c r="G13" s="260">
        <v>-2538.6</v>
      </c>
      <c r="H13" s="260"/>
      <c r="I13" s="46"/>
      <c r="J13" s="260"/>
      <c r="K13" s="260"/>
      <c r="L13" s="260"/>
      <c r="M13" s="260"/>
      <c r="N13" s="260"/>
      <c r="O13" s="260"/>
      <c r="P13" s="47">
        <f t="shared" si="0"/>
        <v>-2538.6</v>
      </c>
    </row>
    <row r="14" s="5" customFormat="1" spans="1:16">
      <c r="A14" s="199"/>
      <c r="B14" s="24"/>
      <c r="C14" s="20" t="s">
        <v>79</v>
      </c>
      <c r="D14" s="21"/>
      <c r="E14" s="260"/>
      <c r="F14" s="260">
        <v>200</v>
      </c>
      <c r="G14" s="260">
        <v>0</v>
      </c>
      <c r="H14" s="260"/>
      <c r="I14" s="46"/>
      <c r="J14" s="260"/>
      <c r="K14" s="260"/>
      <c r="L14" s="260"/>
      <c r="M14" s="260"/>
      <c r="N14" s="260"/>
      <c r="O14" s="260"/>
      <c r="P14" s="47">
        <f t="shared" si="0"/>
        <v>200</v>
      </c>
    </row>
    <row r="15" s="5" customFormat="1" spans="1:16">
      <c r="A15" s="199"/>
      <c r="B15" s="24"/>
      <c r="C15" s="25" t="s">
        <v>80</v>
      </c>
      <c r="D15" s="21"/>
      <c r="E15" s="260"/>
      <c r="F15" s="260">
        <v>0</v>
      </c>
      <c r="G15" s="260">
        <v>0</v>
      </c>
      <c r="H15" s="260"/>
      <c r="I15" s="46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>
        <v>0</v>
      </c>
      <c r="G16" s="260">
        <v>0</v>
      </c>
      <c r="H16" s="260"/>
      <c r="I16" s="46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>
        <v>0</v>
      </c>
      <c r="G17" s="260">
        <v>0</v>
      </c>
      <c r="H17" s="260"/>
      <c r="I17" s="46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212</v>
      </c>
      <c r="D18" s="21">
        <v>8121</v>
      </c>
      <c r="E18" s="260"/>
      <c r="F18" s="260"/>
      <c r="G18" s="260">
        <v>0</v>
      </c>
      <c r="H18" s="260"/>
      <c r="I18" s="46"/>
      <c r="J18" s="260"/>
      <c r="K18" s="260"/>
      <c r="L18" s="260"/>
      <c r="M18" s="260"/>
      <c r="N18" s="260"/>
      <c r="O18" s="260"/>
      <c r="P18" s="47">
        <f t="shared" si="0"/>
        <v>8121</v>
      </c>
    </row>
    <row r="19" s="5" customFormat="1" spans="1:16">
      <c r="A19" s="199"/>
      <c r="B19" s="26" t="s">
        <v>84</v>
      </c>
      <c r="C19" s="25" t="s">
        <v>84</v>
      </c>
      <c r="D19" s="21">
        <v>14756</v>
      </c>
      <c r="E19" s="260">
        <v>2145</v>
      </c>
      <c r="F19" s="260">
        <v>2019</v>
      </c>
      <c r="G19" s="260">
        <v>1749</v>
      </c>
      <c r="H19" s="260"/>
      <c r="I19" s="46"/>
      <c r="J19" s="260"/>
      <c r="K19" s="260"/>
      <c r="L19" s="260"/>
      <c r="M19" s="260"/>
      <c r="N19" s="260"/>
      <c r="O19" s="260"/>
      <c r="P19" s="47">
        <f t="shared" si="0"/>
        <v>20669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>
        <v>0</v>
      </c>
      <c r="G20" s="260">
        <v>0</v>
      </c>
      <c r="H20" s="260"/>
      <c r="I20" s="46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260">
        <v>0</v>
      </c>
      <c r="H21" s="260"/>
      <c r="I21" s="46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>
        <v>5003.18</v>
      </c>
      <c r="E22" s="260">
        <v>4470.76</v>
      </c>
      <c r="F22" s="260">
        <v>-4470.76</v>
      </c>
      <c r="G22" s="260">
        <v>0</v>
      </c>
      <c r="H22" s="260"/>
      <c r="I22" s="46"/>
      <c r="J22" s="260"/>
      <c r="K22" s="260"/>
      <c r="L22" s="260"/>
      <c r="M22" s="260"/>
      <c r="N22" s="260"/>
      <c r="O22" s="260"/>
      <c r="P22" s="47">
        <f t="shared" si="0"/>
        <v>5003.18</v>
      </c>
    </row>
    <row r="23" s="5" customFormat="1" spans="1:16">
      <c r="A23" s="199"/>
      <c r="B23" s="24"/>
      <c r="C23" s="25" t="s">
        <v>89</v>
      </c>
      <c r="D23" s="21">
        <v>176.9</v>
      </c>
      <c r="E23" s="260">
        <v>160.1</v>
      </c>
      <c r="F23" s="260">
        <v>-160.1</v>
      </c>
      <c r="G23" s="260">
        <v>0</v>
      </c>
      <c r="H23" s="260"/>
      <c r="I23" s="46"/>
      <c r="J23" s="260"/>
      <c r="K23" s="260"/>
      <c r="L23" s="260"/>
      <c r="M23" s="260"/>
      <c r="N23" s="260"/>
      <c r="O23" s="260"/>
      <c r="P23" s="47">
        <f t="shared" si="0"/>
        <v>176.9</v>
      </c>
    </row>
    <row r="24" s="5" customFormat="1" spans="1:16">
      <c r="A24" s="199"/>
      <c r="B24" s="24"/>
      <c r="C24" s="25" t="s">
        <v>90</v>
      </c>
      <c r="D24" s="21">
        <v>159.21</v>
      </c>
      <c r="E24" s="260">
        <v>144.09</v>
      </c>
      <c r="F24" s="260">
        <v>-144.09</v>
      </c>
      <c r="G24" s="260">
        <v>0</v>
      </c>
      <c r="H24" s="260"/>
      <c r="I24" s="46"/>
      <c r="J24" s="260"/>
      <c r="K24" s="260"/>
      <c r="L24" s="260"/>
      <c r="M24" s="260"/>
      <c r="N24" s="260"/>
      <c r="O24" s="260"/>
      <c r="P24" s="47">
        <f t="shared" si="0"/>
        <v>159.21</v>
      </c>
    </row>
    <row r="25" s="5" customFormat="1" spans="1:16">
      <c r="A25" s="199"/>
      <c r="B25" s="24"/>
      <c r="C25" s="25" t="s">
        <v>91</v>
      </c>
      <c r="D25" s="21">
        <v>3405.51</v>
      </c>
      <c r="E25" s="260">
        <v>3027.12</v>
      </c>
      <c r="F25" s="260">
        <v>971.13</v>
      </c>
      <c r="G25" s="260">
        <v>1865.85</v>
      </c>
      <c r="H25" s="260"/>
      <c r="I25" s="46"/>
      <c r="J25" s="260"/>
      <c r="K25" s="260"/>
      <c r="L25" s="260"/>
      <c r="M25" s="260"/>
      <c r="N25" s="260"/>
      <c r="O25" s="260"/>
      <c r="P25" s="47">
        <f t="shared" si="0"/>
        <v>9269.61</v>
      </c>
    </row>
    <row r="26" s="5" customFormat="1" spans="1:16">
      <c r="A26" s="199"/>
      <c r="B26" s="23"/>
      <c r="C26" s="25" t="s">
        <v>92</v>
      </c>
      <c r="D26" s="21">
        <v>427.77</v>
      </c>
      <c r="E26" s="260">
        <v>380.24</v>
      </c>
      <c r="F26" s="260">
        <v>332.71</v>
      </c>
      <c r="G26" s="260">
        <v>332.71</v>
      </c>
      <c r="H26" s="260"/>
      <c r="I26" s="46"/>
      <c r="J26" s="260"/>
      <c r="K26" s="260"/>
      <c r="L26" s="260"/>
      <c r="M26" s="260"/>
      <c r="N26" s="260"/>
      <c r="O26" s="260"/>
      <c r="P26" s="47">
        <f t="shared" si="0"/>
        <v>1473.43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>
        <v>0</v>
      </c>
      <c r="H27" s="260"/>
      <c r="I27" s="46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>
        <v>0</v>
      </c>
      <c r="H28" s="260"/>
      <c r="I28" s="46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260">
        <v>0</v>
      </c>
      <c r="H29" s="260"/>
      <c r="I29" s="46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>
        <v>0</v>
      </c>
      <c r="H30" s="260"/>
      <c r="I30" s="46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>
        <v>0</v>
      </c>
      <c r="H31" s="260"/>
      <c r="I31" s="46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>
        <v>0</v>
      </c>
      <c r="H32" s="260"/>
      <c r="I32" s="46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>
        <v>2413.87</v>
      </c>
      <c r="E33" s="260">
        <v>-1250</v>
      </c>
      <c r="F33" s="260"/>
      <c r="G33" s="260">
        <v>0</v>
      </c>
      <c r="H33" s="260"/>
      <c r="I33" s="46"/>
      <c r="J33" s="260"/>
      <c r="K33" s="260"/>
      <c r="L33" s="260"/>
      <c r="M33" s="260"/>
      <c r="N33" s="260"/>
      <c r="O33" s="260"/>
      <c r="P33" s="47">
        <f t="shared" si="0"/>
        <v>1163.87</v>
      </c>
    </row>
    <row r="34" s="5" customFormat="1" spans="1:16">
      <c r="A34" s="202"/>
      <c r="B34" s="19" t="s">
        <v>103</v>
      </c>
      <c r="C34" s="25" t="s">
        <v>104</v>
      </c>
      <c r="D34" s="21">
        <v>166.21</v>
      </c>
      <c r="E34" s="260"/>
      <c r="F34" s="260"/>
      <c r="G34" s="260">
        <v>0</v>
      </c>
      <c r="H34" s="260"/>
      <c r="I34" s="46"/>
      <c r="J34" s="260"/>
      <c r="K34" s="260"/>
      <c r="L34" s="260"/>
      <c r="M34" s="260"/>
      <c r="N34" s="260"/>
      <c r="O34" s="260"/>
      <c r="P34" s="47">
        <f t="shared" si="0"/>
        <v>166.21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>
        <v>0</v>
      </c>
      <c r="H35" s="260"/>
      <c r="I35" s="46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/>
      <c r="G36" s="260">
        <v>0</v>
      </c>
      <c r="H36" s="260"/>
      <c r="I36" s="46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/>
      <c r="G37" s="260">
        <v>0</v>
      </c>
      <c r="H37" s="260"/>
      <c r="I37" s="46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>
        <v>0</v>
      </c>
      <c r="H38" s="260"/>
      <c r="I38" s="46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>
        <v>0</v>
      </c>
      <c r="H39" s="260"/>
      <c r="I39" s="46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>
        <v>0</v>
      </c>
      <c r="H40" s="260"/>
      <c r="I40" s="46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>
        <v>1242</v>
      </c>
      <c r="E41" s="260"/>
      <c r="F41" s="260">
        <v>1061.95</v>
      </c>
      <c r="G41" s="260">
        <v>0</v>
      </c>
      <c r="H41" s="260"/>
      <c r="I41" s="46"/>
      <c r="J41" s="260"/>
      <c r="K41" s="260"/>
      <c r="L41" s="260"/>
      <c r="M41" s="260"/>
      <c r="N41" s="260"/>
      <c r="O41" s="260"/>
      <c r="P41" s="47">
        <f t="shared" si="0"/>
        <v>2303.95</v>
      </c>
    </row>
    <row r="42" s="5" customFormat="1" spans="1:16">
      <c r="A42" s="205"/>
      <c r="B42" s="19" t="s">
        <v>114</v>
      </c>
      <c r="C42" s="206" t="s">
        <v>114</v>
      </c>
      <c r="D42" s="21" t="s">
        <v>214</v>
      </c>
      <c r="E42" s="260"/>
      <c r="F42" s="260">
        <v>0</v>
      </c>
      <c r="G42" s="260">
        <v>0</v>
      </c>
      <c r="H42" s="260"/>
      <c r="I42" s="46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 t="s">
        <v>214</v>
      </c>
      <c r="E43" s="260">
        <v>150</v>
      </c>
      <c r="F43" s="260">
        <v>0</v>
      </c>
      <c r="G43" s="260">
        <v>0</v>
      </c>
      <c r="H43" s="260"/>
      <c r="I43" s="46"/>
      <c r="J43" s="260"/>
      <c r="K43" s="260"/>
      <c r="L43" s="260"/>
      <c r="M43" s="260"/>
      <c r="N43" s="260"/>
      <c r="O43" s="260"/>
      <c r="P43" s="47">
        <f t="shared" si="0"/>
        <v>150</v>
      </c>
    </row>
    <row r="44" s="5" customFormat="1" spans="1:16">
      <c r="A44" s="205"/>
      <c r="B44" s="19" t="s">
        <v>116</v>
      </c>
      <c r="C44" s="206" t="s">
        <v>117</v>
      </c>
      <c r="D44" s="21" t="s">
        <v>214</v>
      </c>
      <c r="E44" s="260" t="s">
        <v>214</v>
      </c>
      <c r="F44" s="260">
        <v>0</v>
      </c>
      <c r="G44" s="260">
        <v>0</v>
      </c>
      <c r="H44" s="260"/>
      <c r="I44" s="46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 t="s">
        <v>214</v>
      </c>
      <c r="E45" s="260" t="s">
        <v>214</v>
      </c>
      <c r="F45" s="260">
        <v>0</v>
      </c>
      <c r="G45" s="260">
        <v>0</v>
      </c>
      <c r="H45" s="260"/>
      <c r="I45" s="46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0</v>
      </c>
      <c r="E46" s="260">
        <v>0</v>
      </c>
      <c r="F46" s="260">
        <v>8.00355337560177e-11</v>
      </c>
      <c r="G46" s="260">
        <v>-2.21916707232594e-10</v>
      </c>
      <c r="H46" s="260"/>
      <c r="I46" s="46"/>
      <c r="J46" s="260"/>
      <c r="K46" s="260"/>
      <c r="L46" s="260"/>
      <c r="M46" s="260"/>
      <c r="N46" s="260"/>
      <c r="O46" s="260"/>
      <c r="P46" s="47">
        <f t="shared" si="0"/>
        <v>-1.41881173476577e-10</v>
      </c>
    </row>
    <row r="47" s="5" customFormat="1" spans="1:16">
      <c r="A47" s="205"/>
      <c r="B47" s="26" t="s">
        <v>120</v>
      </c>
      <c r="C47" s="207" t="s">
        <v>120</v>
      </c>
      <c r="D47" s="21">
        <v>10046.08</v>
      </c>
      <c r="E47" s="260">
        <v>10046.08</v>
      </c>
      <c r="F47" s="260">
        <v>10046.07</v>
      </c>
      <c r="G47" s="260">
        <v>10046.08</v>
      </c>
      <c r="H47" s="260"/>
      <c r="I47" s="46"/>
      <c r="J47" s="260"/>
      <c r="K47" s="260"/>
      <c r="L47" s="260"/>
      <c r="M47" s="260"/>
      <c r="N47" s="260"/>
      <c r="O47" s="260"/>
      <c r="P47" s="47">
        <f t="shared" si="0"/>
        <v>40184.31</v>
      </c>
    </row>
    <row r="48" s="189" customFormat="1" spans="1:16">
      <c r="A48" s="208"/>
      <c r="B48" s="34" t="s">
        <v>121</v>
      </c>
      <c r="C48" s="209" t="s">
        <v>121</v>
      </c>
      <c r="D48" s="314">
        <v>124.8</v>
      </c>
      <c r="E48" s="260">
        <v>128.96</v>
      </c>
      <c r="F48" s="260">
        <v>86.84</v>
      </c>
      <c r="G48" s="260">
        <v>45.24</v>
      </c>
      <c r="H48" s="307"/>
      <c r="I48" s="46"/>
      <c r="J48" s="307"/>
      <c r="K48" s="307"/>
      <c r="L48" s="307"/>
      <c r="M48" s="307"/>
      <c r="N48" s="307"/>
      <c r="O48" s="307"/>
      <c r="P48" s="47">
        <f t="shared" si="0"/>
        <v>385.84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>
        <v>0</v>
      </c>
      <c r="H49" s="260"/>
      <c r="I49" s="46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>
        <v>0</v>
      </c>
      <c r="H50" s="260"/>
      <c r="I50" s="46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>
        <v>0</v>
      </c>
      <c r="H51" s="260"/>
      <c r="I51" s="46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>
        <v>0</v>
      </c>
      <c r="H52" s="260"/>
      <c r="I52" s="46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260">
        <v>7957.55</v>
      </c>
      <c r="H53" s="260"/>
      <c r="I53" s="46"/>
      <c r="J53" s="260"/>
      <c r="K53" s="260"/>
      <c r="L53" s="260"/>
      <c r="M53" s="260"/>
      <c r="N53" s="260"/>
      <c r="O53" s="260"/>
      <c r="P53" s="47">
        <f t="shared" si="0"/>
        <v>7957.55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>
        <v>0</v>
      </c>
      <c r="H54" s="260"/>
      <c r="I54" s="46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>
        <v>0</v>
      </c>
      <c r="H55" s="260"/>
      <c r="I55" s="46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>
        <v>0</v>
      </c>
      <c r="H56" s="260"/>
      <c r="I56" s="46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>
        <v>0</v>
      </c>
      <c r="H57" s="260"/>
      <c r="I57" s="46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>
        <v>0</v>
      </c>
      <c r="H58" s="260"/>
      <c r="I58" s="46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>
        <v>0</v>
      </c>
      <c r="H59" s="260"/>
      <c r="I59" s="46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>
        <v>0</v>
      </c>
      <c r="H60" s="260"/>
      <c r="I60" s="46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>
        <v>0</v>
      </c>
      <c r="H61" s="260"/>
      <c r="I61" s="46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>
        <v>0</v>
      </c>
      <c r="H62" s="260"/>
      <c r="I62" s="46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>
        <v>0</v>
      </c>
      <c r="H63" s="260"/>
      <c r="I63" s="46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>
        <v>276.18</v>
      </c>
      <c r="F64" s="260"/>
      <c r="G64" s="260">
        <v>0</v>
      </c>
      <c r="H64" s="260"/>
      <c r="I64" s="46"/>
      <c r="J64" s="260"/>
      <c r="K64" s="260"/>
      <c r="L64" s="260"/>
      <c r="M64" s="260"/>
      <c r="N64" s="260"/>
      <c r="O64" s="260"/>
      <c r="P64" s="47">
        <f t="shared" si="0"/>
        <v>276.18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>
        <v>-219161.72</v>
      </c>
      <c r="F65" s="260"/>
      <c r="G65" s="260">
        <v>0</v>
      </c>
      <c r="H65" s="260"/>
      <c r="I65" s="46"/>
      <c r="J65" s="260"/>
      <c r="K65" s="260"/>
      <c r="L65" s="260"/>
      <c r="M65" s="260"/>
      <c r="N65" s="260"/>
      <c r="O65" s="260"/>
      <c r="P65" s="47">
        <f t="shared" si="0"/>
        <v>-219161.72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>
        <v>0</v>
      </c>
      <c r="H66" s="260"/>
      <c r="I66" s="46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>
        <v>0</v>
      </c>
      <c r="H67" s="260"/>
      <c r="I67" s="46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>
        <v>0</v>
      </c>
      <c r="H68" s="260"/>
      <c r="I68" s="46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>
        <v>0</v>
      </c>
      <c r="H69" s="260"/>
      <c r="I69" s="46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>
        <v>20</v>
      </c>
      <c r="E70" s="260"/>
      <c r="F70" s="260"/>
      <c r="G70" s="260">
        <v>0</v>
      </c>
      <c r="H70" s="260"/>
      <c r="I70" s="46"/>
      <c r="J70" s="260"/>
      <c r="K70" s="260"/>
      <c r="L70" s="260"/>
      <c r="M70" s="260"/>
      <c r="N70" s="260"/>
      <c r="O70" s="260"/>
      <c r="P70" s="47">
        <f t="shared" si="0"/>
        <v>20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>
        <v>0</v>
      </c>
      <c r="H71" s="260"/>
      <c r="I71" s="46"/>
      <c r="J71" s="260"/>
      <c r="K71" s="260"/>
      <c r="L71" s="260"/>
      <c r="M71" s="260"/>
      <c r="N71" s="260"/>
      <c r="O71" s="260"/>
      <c r="P71" s="47">
        <f t="shared" ref="P71:P92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>
        <v>0</v>
      </c>
      <c r="H72" s="260"/>
      <c r="I72" s="46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>
        <v>0</v>
      </c>
      <c r="H73" s="260"/>
      <c r="I73" s="46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>
        <v>0</v>
      </c>
      <c r="H74" s="260"/>
      <c r="I74" s="46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>
        <v>0</v>
      </c>
      <c r="H75" s="260"/>
      <c r="I75" s="46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>
        <v>0</v>
      </c>
      <c r="H76" s="260"/>
      <c r="I76" s="46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>
        <v>0</v>
      </c>
      <c r="H77" s="260"/>
      <c r="I77" s="46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>
        <v>0</v>
      </c>
      <c r="H78" s="260"/>
      <c r="I78" s="46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>
        <v>0</v>
      </c>
      <c r="H79" s="260"/>
      <c r="I79" s="46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>
        <v>0</v>
      </c>
      <c r="H80" s="260"/>
      <c r="I80" s="46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>
        <v>0</v>
      </c>
      <c r="H81" s="260"/>
      <c r="I81" s="46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>
        <v>0</v>
      </c>
      <c r="H82" s="260"/>
      <c r="I82" s="46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260">
        <v>0</v>
      </c>
      <c r="H83" s="260"/>
      <c r="I83" s="46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>
        <v>0</v>
      </c>
      <c r="H84" s="260"/>
      <c r="I84" s="46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>
        <v>3810</v>
      </c>
      <c r="F85" s="260"/>
      <c r="G85" s="260">
        <v>0</v>
      </c>
      <c r="H85" s="260"/>
      <c r="I85" s="46"/>
      <c r="J85" s="260"/>
      <c r="K85" s="260"/>
      <c r="L85" s="260"/>
      <c r="M85" s="260"/>
      <c r="N85" s="260"/>
      <c r="O85" s="260"/>
      <c r="P85" s="47">
        <f t="shared" si="1"/>
        <v>3810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>
        <v>0</v>
      </c>
      <c r="H86" s="260"/>
      <c r="I86" s="46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>
        <v>0</v>
      </c>
      <c r="H87" s="260"/>
      <c r="I87" s="46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>
        <v>0</v>
      </c>
      <c r="H88" s="260"/>
      <c r="I88" s="46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>
        <v>0</v>
      </c>
      <c r="H89" s="260"/>
      <c r="I89" s="46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>
        <v>0</v>
      </c>
      <c r="H90" s="260"/>
      <c r="I90" s="46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-10309.29</v>
      </c>
      <c r="E91" s="260"/>
      <c r="F91" s="260"/>
      <c r="G91" s="260">
        <v>0</v>
      </c>
      <c r="H91" s="260"/>
      <c r="I91" s="46"/>
      <c r="J91" s="260"/>
      <c r="K91" s="260"/>
      <c r="L91" s="260"/>
      <c r="M91" s="260"/>
      <c r="N91" s="260"/>
      <c r="O91" s="260"/>
      <c r="P91" s="47">
        <f t="shared" si="1"/>
        <v>-10309.29</v>
      </c>
    </row>
    <row r="92" s="5" customFormat="1" spans="1:16">
      <c r="A92" s="231"/>
      <c r="B92" s="26" t="s">
        <v>83</v>
      </c>
      <c r="C92" s="207" t="s">
        <v>83</v>
      </c>
      <c r="D92" s="21">
        <v>3385.24</v>
      </c>
      <c r="E92" s="260">
        <v>3385.25</v>
      </c>
      <c r="F92" s="260">
        <v>3385.24</v>
      </c>
      <c r="G92" s="260">
        <v>2760.25</v>
      </c>
      <c r="H92" s="260"/>
      <c r="I92" s="46"/>
      <c r="J92" s="260"/>
      <c r="K92" s="260"/>
      <c r="L92" s="260"/>
      <c r="M92" s="260"/>
      <c r="N92" s="260"/>
      <c r="O92" s="260"/>
      <c r="P92" s="47">
        <f t="shared" si="1"/>
        <v>12915.98</v>
      </c>
    </row>
    <row r="93" s="6" customFormat="1" ht="15.75" spans="1:16">
      <c r="A93" s="232" t="s">
        <v>12</v>
      </c>
      <c r="B93" s="234"/>
      <c r="C93" s="308"/>
      <c r="D93" s="58">
        <f>SUM(D6:D92)</f>
        <v>227373.94</v>
      </c>
      <c r="E93" s="58">
        <f t="shared" ref="E93:P93" si="2">SUM(E6:E92)</f>
        <v>-152633.18</v>
      </c>
      <c r="F93" s="58">
        <f t="shared" si="2"/>
        <v>68585.1800000001</v>
      </c>
      <c r="G93" s="58">
        <f t="shared" ref="G93" si="3">SUM(G6:G92)</f>
        <v>79831.7099999998</v>
      </c>
      <c r="H93" s="58">
        <f t="shared" si="2"/>
        <v>0</v>
      </c>
      <c r="I93" s="74">
        <f t="shared" ref="I93" si="4">SUM(I6:I92)</f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223157.65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47"/>
      <c r="H94" s="236"/>
      <c r="I94" s="46"/>
      <c r="J94" s="236"/>
      <c r="K94" s="236"/>
      <c r="L94" s="267"/>
      <c r="M94" s="236"/>
      <c r="N94" s="236"/>
      <c r="O94" s="236"/>
      <c r="P94" s="236"/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47"/>
      <c r="H95" s="236"/>
      <c r="I95" s="46"/>
      <c r="J95" s="236"/>
      <c r="K95" s="236"/>
      <c r="L95" s="267"/>
      <c r="M95" s="236"/>
      <c r="N95" s="236"/>
      <c r="O95" s="236"/>
      <c r="P95" s="236"/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47"/>
      <c r="H96" s="236"/>
      <c r="I96" s="46"/>
      <c r="J96" s="236"/>
      <c r="K96" s="236"/>
      <c r="L96" s="267"/>
      <c r="M96" s="236"/>
      <c r="N96" s="236"/>
      <c r="O96" s="236"/>
      <c r="P96" s="236"/>
    </row>
    <row r="97" s="7" customFormat="1" ht="13.5" spans="1:16">
      <c r="A97" s="252" t="s">
        <v>179</v>
      </c>
      <c r="B97" s="253"/>
      <c r="C97" s="254"/>
      <c r="D97" s="47">
        <f>D93</f>
        <v>227373.94</v>
      </c>
      <c r="E97" s="47">
        <f t="shared" ref="E97:O97" si="5">E93</f>
        <v>-152633.18</v>
      </c>
      <c r="F97" s="47">
        <f t="shared" si="5"/>
        <v>68585.1800000001</v>
      </c>
      <c r="G97" s="47">
        <f t="shared" ref="G97" si="6">G93</f>
        <v>79831.7099999998</v>
      </c>
      <c r="H97" s="47">
        <f t="shared" si="5"/>
        <v>0</v>
      </c>
      <c r="I97" s="47">
        <f t="shared" si="5"/>
        <v>0</v>
      </c>
      <c r="J97" s="47">
        <f t="shared" si="5"/>
        <v>0</v>
      </c>
      <c r="K97" s="47">
        <f t="shared" si="5"/>
        <v>0</v>
      </c>
      <c r="L97" s="47">
        <f t="shared" si="5"/>
        <v>0</v>
      </c>
      <c r="M97" s="47">
        <f t="shared" si="5"/>
        <v>0</v>
      </c>
      <c r="N97" s="47">
        <f t="shared" si="5"/>
        <v>0</v>
      </c>
      <c r="O97" s="47">
        <f t="shared" si="5"/>
        <v>0</v>
      </c>
      <c r="P97" s="47">
        <f t="shared" ref="P97" si="7">SUM(D97:O97)</f>
        <v>223157.65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236" t="s">
        <v>215</v>
      </c>
      <c r="H98" s="236"/>
      <c r="I98" s="236"/>
      <c r="J98" s="236"/>
      <c r="K98" s="236"/>
      <c r="L98" s="267"/>
      <c r="M98" s="236"/>
      <c r="N98" s="236"/>
      <c r="O98" s="236"/>
      <c r="P98" s="236"/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8">IF(SUM(E94:E98)=E93,"ok","no")</f>
        <v>ok</v>
      </c>
      <c r="F100" s="90" t="str">
        <f t="shared" si="8"/>
        <v>ok</v>
      </c>
      <c r="G100" s="90" t="str">
        <f t="shared" si="8"/>
        <v>ok</v>
      </c>
      <c r="H100" s="90" t="str">
        <f t="shared" si="8"/>
        <v>ok</v>
      </c>
      <c r="I100" s="90" t="str">
        <f t="shared" si="8"/>
        <v>ok</v>
      </c>
      <c r="J100" s="90" t="str">
        <f t="shared" si="8"/>
        <v>ok</v>
      </c>
      <c r="K100" s="90" t="str">
        <f t="shared" si="8"/>
        <v>ok</v>
      </c>
      <c r="L100" s="90" t="str">
        <f t="shared" si="8"/>
        <v>ok</v>
      </c>
      <c r="M100" s="90" t="str">
        <f t="shared" si="8"/>
        <v>ok</v>
      </c>
      <c r="N100" s="90" t="str">
        <f t="shared" si="8"/>
        <v>ok</v>
      </c>
      <c r="O100" s="90" t="str">
        <f t="shared" si="8"/>
        <v>ok</v>
      </c>
    </row>
    <row r="101" s="6" customFormat="1" ht="12" spans="4:16">
      <c r="D101" s="320"/>
      <c r="H101" s="157">
        <f>SUM(H94:H98)-H93</f>
        <v>0</v>
      </c>
      <c r="P101" s="101"/>
    </row>
    <row r="102" spans="4:16">
      <c r="D102" s="68"/>
      <c r="F102" s="6">
        <v>68585.18</v>
      </c>
      <c r="P102" s="80">
        <f>P101-P93</f>
        <v>-223157.65</v>
      </c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3.875" style="10" customWidth="1"/>
    <col min="8" max="11" width="11.5" style="10" customWidth="1"/>
    <col min="12" max="12" width="14.5" style="10" customWidth="1"/>
    <col min="13" max="15" width="12.75" style="10" customWidth="1"/>
    <col min="16" max="16" width="14.25" style="10" customWidth="1"/>
    <col min="17" max="18" width="15.7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216</v>
      </c>
      <c r="B1" s="69"/>
      <c r="C1" s="69"/>
      <c r="D1" s="69"/>
      <c r="E1" s="6"/>
      <c r="F1" s="6"/>
    </row>
    <row r="2" s="2" customFormat="1" spans="1:6">
      <c r="A2" s="2" t="s">
        <v>64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81031.78</v>
      </c>
      <c r="E6" s="260">
        <v>73274.85</v>
      </c>
      <c r="F6" s="260">
        <v>93095.13</v>
      </c>
      <c r="G6" s="260">
        <v>121672.6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369074.36</v>
      </c>
      <c r="Q6" s="48">
        <f>SUM(P6:P8,P19,P22:P26)</f>
        <v>522584.27</v>
      </c>
      <c r="R6" s="48">
        <f>Q6+'X-天津'!Q6+'Y-天津'!Q6</f>
        <v>1013128.65</v>
      </c>
      <c r="S6" s="5">
        <f>R6/10000</f>
        <v>101.312865</v>
      </c>
    </row>
    <row r="7" s="5" customFormat="1" spans="1:17">
      <c r="A7" s="199"/>
      <c r="B7" s="23"/>
      <c r="C7" s="20" t="s">
        <v>71</v>
      </c>
      <c r="D7" s="21">
        <v>3533.57</v>
      </c>
      <c r="E7" s="260">
        <v>5812</v>
      </c>
      <c r="F7" s="260">
        <v>11559</v>
      </c>
      <c r="G7" s="260">
        <v>11717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32621.57</v>
      </c>
      <c r="Q7" s="48">
        <f>Q6/10000</f>
        <v>52.258427</v>
      </c>
    </row>
    <row r="8" s="5" customFormat="1" spans="1:16">
      <c r="A8" s="199"/>
      <c r="B8" s="19" t="s">
        <v>72</v>
      </c>
      <c r="C8" s="20" t="s">
        <v>72</v>
      </c>
      <c r="D8" s="21">
        <v>-300</v>
      </c>
      <c r="E8" s="260"/>
      <c r="F8" s="260">
        <v>46530.5</v>
      </c>
      <c r="G8" s="260">
        <v>24900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71130.5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>
        <v>22</v>
      </c>
      <c r="E10" s="260"/>
      <c r="F10" s="260">
        <v>4840.5</v>
      </c>
      <c r="G10" s="260">
        <v>13157.2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18019.7</v>
      </c>
    </row>
    <row r="11" s="5" customFormat="1" spans="1:16">
      <c r="A11" s="199"/>
      <c r="B11" s="24"/>
      <c r="C11" s="25" t="s">
        <v>76</v>
      </c>
      <c r="D11" s="21"/>
      <c r="E11" s="260"/>
      <c r="F11" s="260">
        <v>23989</v>
      </c>
      <c r="G11" s="260">
        <v>701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24690</v>
      </c>
    </row>
    <row r="12" s="5" customFormat="1" spans="1:16">
      <c r="A12" s="199"/>
      <c r="B12" s="24"/>
      <c r="C12" s="20" t="s">
        <v>77</v>
      </c>
      <c r="D12" s="21"/>
      <c r="E12" s="260"/>
      <c r="F12" s="260">
        <v>12825</v>
      </c>
      <c r="G12" s="260">
        <v>6360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19185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>
        <v>300</v>
      </c>
      <c r="G14" s="260">
        <v>100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400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>
        <v>-245</v>
      </c>
      <c r="E18" s="260"/>
      <c r="F18" s="260">
        <v>11007.6</v>
      </c>
      <c r="G18" s="260">
        <v>3724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14486.6</v>
      </c>
    </row>
    <row r="19" s="5" customFormat="1" spans="1:16">
      <c r="A19" s="199"/>
      <c r="B19" s="26" t="s">
        <v>84</v>
      </c>
      <c r="C19" s="25" t="s">
        <v>84</v>
      </c>
      <c r="D19" s="21">
        <v>3311</v>
      </c>
      <c r="E19" s="260">
        <v>3311</v>
      </c>
      <c r="F19" s="260">
        <v>5224</v>
      </c>
      <c r="G19" s="260">
        <v>5224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17070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>
        <v>560</v>
      </c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560</v>
      </c>
    </row>
    <row r="22" s="5" customFormat="1" spans="1:16">
      <c r="A22" s="199"/>
      <c r="B22" s="19" t="s">
        <v>87</v>
      </c>
      <c r="C22" s="25" t="s">
        <v>88</v>
      </c>
      <c r="D22" s="21">
        <v>13529.95</v>
      </c>
      <c r="E22" s="260">
        <v>13529.95</v>
      </c>
      <c r="F22" s="260">
        <v>-20197.44</v>
      </c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6862.46</v>
      </c>
    </row>
    <row r="23" s="5" customFormat="1" spans="1:16">
      <c r="A23" s="199"/>
      <c r="B23" s="24"/>
      <c r="C23" s="25" t="s">
        <v>89</v>
      </c>
      <c r="D23" s="21">
        <v>422.81</v>
      </c>
      <c r="E23" s="260">
        <v>422.81</v>
      </c>
      <c r="F23" s="260">
        <v>-631.28</v>
      </c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214.34</v>
      </c>
    </row>
    <row r="24" s="5" customFormat="1" spans="1:16">
      <c r="A24" s="199"/>
      <c r="B24" s="24"/>
      <c r="C24" s="25" t="s">
        <v>90</v>
      </c>
      <c r="D24" s="21">
        <v>549.63</v>
      </c>
      <c r="E24" s="260">
        <v>549.63</v>
      </c>
      <c r="F24" s="260">
        <v>-820.55</v>
      </c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278.71</v>
      </c>
    </row>
    <row r="25" s="5" customFormat="1" spans="1:16">
      <c r="A25" s="199"/>
      <c r="B25" s="24"/>
      <c r="C25" s="25" t="s">
        <v>91</v>
      </c>
      <c r="D25" s="21">
        <v>8456</v>
      </c>
      <c r="E25" s="260">
        <v>8456</v>
      </c>
      <c r="F25" s="260">
        <v>0.21</v>
      </c>
      <c r="G25" s="260">
        <v>6312.14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23224.35</v>
      </c>
    </row>
    <row r="26" s="5" customFormat="1" spans="1:16">
      <c r="A26" s="199"/>
      <c r="B26" s="23"/>
      <c r="C26" s="25" t="s">
        <v>92</v>
      </c>
      <c r="D26" s="21">
        <v>422.81</v>
      </c>
      <c r="E26" s="260">
        <v>422.81</v>
      </c>
      <c r="F26" s="260">
        <v>631.18</v>
      </c>
      <c r="G26" s="260">
        <v>631.18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2107.98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>
        <v>611.97</v>
      </c>
      <c r="E29" s="260"/>
      <c r="F29" s="260">
        <v>2639</v>
      </c>
      <c r="G29" s="260">
        <v>2346.39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5597.36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>
        <v>2552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2552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>
        <v>489.3</v>
      </c>
      <c r="E33" s="260"/>
      <c r="F33" s="260">
        <v>480</v>
      </c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969.3</v>
      </c>
    </row>
    <row r="34" s="5" customFormat="1" spans="1:16">
      <c r="A34" s="202"/>
      <c r="B34" s="19" t="s">
        <v>103</v>
      </c>
      <c r="C34" s="25" t="s">
        <v>104</v>
      </c>
      <c r="D34" s="21">
        <v>16387.91</v>
      </c>
      <c r="E34" s="260"/>
      <c r="F34" s="260"/>
      <c r="G34" s="260">
        <v>3716.27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20104.18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>
        <v>3163.87</v>
      </c>
      <c r="E36" s="260"/>
      <c r="F36" s="260">
        <v>200</v>
      </c>
      <c r="G36" s="260">
        <v>2265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5628.87</v>
      </c>
    </row>
    <row r="37" s="5" customFormat="1" spans="1:16">
      <c r="A37" s="202"/>
      <c r="B37" s="26" t="s">
        <v>107</v>
      </c>
      <c r="C37" s="25" t="s">
        <v>107</v>
      </c>
      <c r="D37" s="21">
        <v>11248.8</v>
      </c>
      <c r="E37" s="260"/>
      <c r="F37" s="260">
        <v>4006</v>
      </c>
      <c r="G37" s="260">
        <v>6457.2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21712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>
        <v>-517.71</v>
      </c>
      <c r="E41" s="260"/>
      <c r="F41" s="260"/>
      <c r="G41" s="260">
        <v>1264.07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746.36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>
        <v>13217.33</v>
      </c>
      <c r="G42" s="260">
        <v>4339.73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17557.06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>
        <v>280</v>
      </c>
      <c r="G43" s="260">
        <v>-610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-330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122044.57</v>
      </c>
      <c r="E46" s="260">
        <v>142059.87</v>
      </c>
      <c r="F46" s="260">
        <v>129024.16</v>
      </c>
      <c r="G46" s="260">
        <v>128951.09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522079.69</v>
      </c>
    </row>
    <row r="47" s="5" customFormat="1" spans="1:16">
      <c r="A47" s="205"/>
      <c r="B47" s="26" t="s">
        <v>120</v>
      </c>
      <c r="C47" s="207" t="s">
        <v>120</v>
      </c>
      <c r="D47" s="21">
        <v>18376.21</v>
      </c>
      <c r="E47" s="260">
        <v>18376.21</v>
      </c>
      <c r="F47" s="260">
        <v>18376.21</v>
      </c>
      <c r="G47" s="260">
        <v>18376.21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73504.84</v>
      </c>
    </row>
    <row r="48" s="189" customFormat="1" spans="1:16">
      <c r="A48" s="208"/>
      <c r="B48" s="34" t="s">
        <v>121</v>
      </c>
      <c r="C48" s="209" t="s">
        <v>121</v>
      </c>
      <c r="D48" s="314">
        <v>6329.22</v>
      </c>
      <c r="E48" s="260">
        <v>6329.22</v>
      </c>
      <c r="F48" s="260">
        <v>6329.23</v>
      </c>
      <c r="G48" s="260">
        <v>5398.54</v>
      </c>
      <c r="H48" s="307"/>
      <c r="I48" s="307"/>
      <c r="J48" s="307"/>
      <c r="K48" s="307"/>
      <c r="L48" s="260"/>
      <c r="M48" s="260"/>
      <c r="N48" s="307"/>
      <c r="O48" s="260"/>
      <c r="P48" s="47">
        <f t="shared" si="0"/>
        <v>24386.21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>
        <v>41343.97</v>
      </c>
      <c r="G49" s="260">
        <v>64820.98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106164.95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>
        <v>12212.39</v>
      </c>
      <c r="E52" s="260"/>
      <c r="F52" s="260">
        <v>5867.25</v>
      </c>
      <c r="G52" s="260">
        <v>35691.81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53771.45</v>
      </c>
    </row>
    <row r="53" s="5" customFormat="1" spans="1:16">
      <c r="A53" s="211"/>
      <c r="B53" s="24"/>
      <c r="C53" s="207" t="s">
        <v>128</v>
      </c>
      <c r="D53" s="21">
        <v>2075.47</v>
      </c>
      <c r="E53" s="260"/>
      <c r="F53" s="260">
        <v>1100</v>
      </c>
      <c r="G53" s="260">
        <v>14468.84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17644.31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>
        <v>1927.67</v>
      </c>
      <c r="E64" s="260">
        <v>1927.67</v>
      </c>
      <c r="F64" s="260">
        <v>18658.92</v>
      </c>
      <c r="G64" s="260">
        <v>1419.9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23934.16</v>
      </c>
    </row>
    <row r="65" s="5" customFormat="1" spans="1:16">
      <c r="A65" s="217"/>
      <c r="B65" s="43" t="s">
        <v>141</v>
      </c>
      <c r="C65" s="207" t="s">
        <v>141</v>
      </c>
      <c r="D65" s="21">
        <v>9175.1</v>
      </c>
      <c r="E65" s="260">
        <v>7879.89</v>
      </c>
      <c r="F65" s="260">
        <v>8540.62</v>
      </c>
      <c r="G65" s="260">
        <v>25360.97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50956.58</v>
      </c>
    </row>
    <row r="66" s="5" customFormat="1" spans="1:16">
      <c r="A66" s="217"/>
      <c r="B66" s="43" t="s">
        <v>142</v>
      </c>
      <c r="C66" s="207" t="s">
        <v>142</v>
      </c>
      <c r="D66" s="21">
        <v>7115.27</v>
      </c>
      <c r="E66" s="260">
        <v>5816.51</v>
      </c>
      <c r="F66" s="260">
        <v>5672.73</v>
      </c>
      <c r="G66" s="260">
        <v>5116.27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23720.78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>
        <v>53</v>
      </c>
      <c r="E70" s="260"/>
      <c r="F70" s="260">
        <v>244</v>
      </c>
      <c r="G70" s="260">
        <v>-295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2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>
        <v>30919.2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30919.2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>
        <v>3047.31</v>
      </c>
      <c r="E83" s="260"/>
      <c r="F83" s="260">
        <v>4109.91</v>
      </c>
      <c r="G83" s="260">
        <v>17076.22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24233.44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>
        <v>198</v>
      </c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198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150683.91</v>
      </c>
      <c r="E91" s="260">
        <v>96426.86</v>
      </c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247110.77</v>
      </c>
    </row>
    <row r="92" s="5" customFormat="1" spans="1:16">
      <c r="A92" s="231"/>
      <c r="B92" s="26" t="s">
        <v>83</v>
      </c>
      <c r="C92" s="207" t="s">
        <v>83</v>
      </c>
      <c r="D92" s="21"/>
      <c r="E92" s="260">
        <v>1524.56</v>
      </c>
      <c r="F92" s="260"/>
      <c r="G92" s="260">
        <v>11050.19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12574.75</v>
      </c>
    </row>
    <row r="93" s="6" customFormat="1" ht="15.75" spans="1:16">
      <c r="A93" s="232" t="s">
        <v>12</v>
      </c>
      <c r="B93" s="234"/>
      <c r="C93" s="308"/>
      <c r="D93" s="58">
        <f>SUM(D6:D92)</f>
        <v>475916.81</v>
      </c>
      <c r="E93" s="58">
        <f t="shared" ref="E93:P93" si="2">SUM(E6:E92)</f>
        <v>386119.84</v>
      </c>
      <c r="F93" s="58">
        <f t="shared" si="2"/>
        <v>448442.18</v>
      </c>
      <c r="G93" s="58">
        <f t="shared" si="2"/>
        <v>575185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1885663.83</v>
      </c>
    </row>
    <row r="94" s="7" customFormat="1" ht="13.5" spans="1:16">
      <c r="A94" s="252" t="s">
        <v>176</v>
      </c>
      <c r="B94" s="253"/>
      <c r="C94" s="254"/>
      <c r="D94" s="235">
        <v>115934.29</v>
      </c>
      <c r="E94" s="47">
        <v>108508.68</v>
      </c>
      <c r="F94" s="47">
        <v>107406.06</v>
      </c>
      <c r="G94" s="236">
        <v>8881.59</v>
      </c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340730.62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>
        <v>341444.58</v>
      </c>
      <c r="E96" s="47">
        <v>259073.24</v>
      </c>
      <c r="F96" s="47">
        <v>322218.18</v>
      </c>
      <c r="G96" s="236">
        <v>8395.76</v>
      </c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931131.76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v>18537.94</v>
      </c>
      <c r="E98" s="47">
        <v>18537.92</v>
      </c>
      <c r="F98" s="47">
        <v>18817.94</v>
      </c>
      <c r="G98" s="47">
        <v>557907.65</v>
      </c>
      <c r="H98" s="47"/>
      <c r="I98" s="47"/>
      <c r="J98" s="47"/>
      <c r="K98" s="47"/>
      <c r="L98" s="47"/>
      <c r="M98" s="47"/>
      <c r="N98" s="47"/>
      <c r="O98" s="47"/>
      <c r="P98" s="47">
        <f t="shared" si="1"/>
        <v>613801.45</v>
      </c>
    </row>
    <row r="99" s="190" customFormat="1" ht="13.5" spans="1:7">
      <c r="A99" s="190" t="s">
        <v>181</v>
      </c>
      <c r="E99" s="6"/>
      <c r="F99" s="238"/>
      <c r="G99" s="299">
        <f>G93-G94-G96-G98</f>
        <v>0</v>
      </c>
    </row>
    <row r="100" spans="4:15">
      <c r="D100" s="90" t="str">
        <f>IF(SUM(D94:D98)=D93,"ok","no")</f>
        <v>ok</v>
      </c>
      <c r="E100" s="90" t="str">
        <f t="shared" ref="E100:O100" si="3">IF(SUM(E94:E98)=E93,"ok","no")</f>
        <v>ok</v>
      </c>
      <c r="F100" s="90" t="str">
        <f t="shared" si="3"/>
        <v>ok</v>
      </c>
      <c r="G100" s="90" t="str">
        <f t="shared" si="3"/>
        <v>ok</v>
      </c>
      <c r="H100" s="90" t="str">
        <f t="shared" si="3"/>
        <v>ok</v>
      </c>
      <c r="I100" s="90" t="str">
        <f t="shared" si="3"/>
        <v>ok</v>
      </c>
      <c r="J100" s="90" t="str">
        <f t="shared" si="3"/>
        <v>ok</v>
      </c>
      <c r="K100" s="90" t="str">
        <f t="shared" si="3"/>
        <v>ok</v>
      </c>
      <c r="L100" s="90" t="str">
        <f t="shared" si="3"/>
        <v>ok</v>
      </c>
      <c r="M100" s="90" t="str">
        <f t="shared" si="3"/>
        <v>ok</v>
      </c>
      <c r="N100" s="90" t="str">
        <f t="shared" si="3"/>
        <v>ok</v>
      </c>
      <c r="O100" s="90" t="str">
        <f t="shared" si="3"/>
        <v>ok</v>
      </c>
    </row>
    <row r="101" s="6" customFormat="1" ht="12" spans="4:4">
      <c r="D101" s="259"/>
    </row>
    <row r="102" spans="6:16">
      <c r="F102" s="6">
        <v>448442.18</v>
      </c>
      <c r="P102" s="68"/>
    </row>
    <row r="104" spans="13:13">
      <c r="M104" s="68"/>
    </row>
    <row r="105" s="6" customFormat="1" ht="12" spans="4:4">
      <c r="D105" s="241"/>
    </row>
  </sheetData>
  <autoFilter ref="A5:S102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79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2.2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217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120643.8</v>
      </c>
      <c r="E6" s="260">
        <v>116507.2</v>
      </c>
      <c r="F6" s="260">
        <f>97009.52+10500</f>
        <v>107509.52</v>
      </c>
      <c r="G6" s="260">
        <f>126981.36+3500</f>
        <v>130481.36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475141.88</v>
      </c>
      <c r="Q6" s="48">
        <f>P6+P7+P8+P19+P22+P23+P24+P25+P26</f>
        <v>810569.14</v>
      </c>
      <c r="R6" s="48">
        <f>Q6</f>
        <v>810569.14</v>
      </c>
      <c r="S6" s="5">
        <f>R6/10000</f>
        <v>81.056914</v>
      </c>
    </row>
    <row r="7" s="5" customFormat="1" spans="1:16">
      <c r="A7" s="199"/>
      <c r="B7" s="23"/>
      <c r="C7" s="20" t="s">
        <v>71</v>
      </c>
      <c r="D7" s="21">
        <v>215458.33</v>
      </c>
      <c r="E7" s="260">
        <v>21088</v>
      </c>
      <c r="F7" s="260">
        <v>20985</v>
      </c>
      <c r="G7" s="260">
        <v>20733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278264.33</v>
      </c>
    </row>
    <row r="8" s="5" customFormat="1" spans="1:16">
      <c r="A8" s="199"/>
      <c r="B8" s="19" t="s">
        <v>72</v>
      </c>
      <c r="C8" s="20" t="s">
        <v>72</v>
      </c>
      <c r="D8" s="21"/>
      <c r="E8" s="260">
        <v>7200</v>
      </c>
      <c r="F8" s="260">
        <v>7200</v>
      </c>
      <c r="G8" s="260">
        <v>7200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21600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>
        <v>-3893.95</v>
      </c>
      <c r="E10" s="260">
        <v>29526</v>
      </c>
      <c r="F10" s="260">
        <v>24860.46</v>
      </c>
      <c r="G10" s="260">
        <v>34613.9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85106.41</v>
      </c>
    </row>
    <row r="11" s="5" customFormat="1" spans="1:16">
      <c r="A11" s="199"/>
      <c r="B11" s="24"/>
      <c r="C11" s="25" t="s">
        <v>76</v>
      </c>
      <c r="D11" s="21"/>
      <c r="E11" s="260">
        <v>65757.43</v>
      </c>
      <c r="F11" s="260"/>
      <c r="G11" s="260">
        <v>1427.72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67185.15</v>
      </c>
    </row>
    <row r="12" s="5" customFormat="1" spans="1:16">
      <c r="A12" s="199"/>
      <c r="B12" s="24"/>
      <c r="C12" s="20" t="s">
        <v>77</v>
      </c>
      <c r="D12" s="21"/>
      <c r="E12" s="260"/>
      <c r="F12" s="260">
        <v>5125</v>
      </c>
      <c r="G12" s="260">
        <v>1065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6190</v>
      </c>
    </row>
    <row r="13" s="5" customFormat="1" spans="1:16">
      <c r="A13" s="199"/>
      <c r="B13" s="24"/>
      <c r="C13" s="25" t="s">
        <v>78</v>
      </c>
      <c r="D13" s="21">
        <v>1489.2</v>
      </c>
      <c r="E13" s="260"/>
      <c r="F13" s="260">
        <v>3006.99</v>
      </c>
      <c r="G13" s="260">
        <v>1300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5796.19</v>
      </c>
    </row>
    <row r="14" s="5" customFormat="1" spans="1:16">
      <c r="A14" s="199"/>
      <c r="B14" s="24"/>
      <c r="C14" s="20" t="s">
        <v>79</v>
      </c>
      <c r="D14" s="21"/>
      <c r="E14" s="260"/>
      <c r="F14" s="260">
        <v>200</v>
      </c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200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>
        <v>-1405.5</v>
      </c>
      <c r="E16" s="260">
        <v>23394.5</v>
      </c>
      <c r="F16" s="260">
        <v>-23394.5</v>
      </c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-1405.5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>
        <v>20649</v>
      </c>
      <c r="E18" s="260">
        <v>1292.9</v>
      </c>
      <c r="F18" s="260">
        <v>49677.17</v>
      </c>
      <c r="G18" s="260">
        <v>23394.5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95013.57</v>
      </c>
    </row>
    <row r="19" s="5" customFormat="1" spans="1:16">
      <c r="A19" s="199"/>
      <c r="B19" s="26" t="s">
        <v>84</v>
      </c>
      <c r="C19" s="25" t="s">
        <v>84</v>
      </c>
      <c r="D19" s="21">
        <v>4101</v>
      </c>
      <c r="E19" s="260">
        <v>4101</v>
      </c>
      <c r="F19" s="260">
        <v>3933</v>
      </c>
      <c r="G19" s="260">
        <v>3933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16068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>
        <v>-13756.34</v>
      </c>
      <c r="E21" s="260">
        <v>1593.5</v>
      </c>
      <c r="F21" s="260">
        <v>-44.88</v>
      </c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-12207.72</v>
      </c>
    </row>
    <row r="22" s="5" customFormat="1" spans="1:16">
      <c r="A22" s="199"/>
      <c r="B22" s="19" t="s">
        <v>87</v>
      </c>
      <c r="C22" s="25" t="s">
        <v>88</v>
      </c>
      <c r="D22" s="21">
        <v>5027.2</v>
      </c>
      <c r="E22" s="260">
        <v>4775.84</v>
      </c>
      <c r="F22" s="260">
        <v>-4775.84</v>
      </c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5027.2</v>
      </c>
    </row>
    <row r="23" s="5" customFormat="1" spans="1:16">
      <c r="A23" s="199"/>
      <c r="B23" s="24"/>
      <c r="C23" s="25" t="s">
        <v>89</v>
      </c>
      <c r="D23" s="21">
        <v>157.2</v>
      </c>
      <c r="E23" s="260">
        <v>149.34</v>
      </c>
      <c r="F23" s="260">
        <v>-149.34</v>
      </c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157.2</v>
      </c>
    </row>
    <row r="24" s="5" customFormat="1" spans="1:16">
      <c r="A24" s="199"/>
      <c r="B24" s="24"/>
      <c r="C24" s="25" t="s">
        <v>90</v>
      </c>
      <c r="D24" s="21">
        <v>519.12</v>
      </c>
      <c r="E24" s="260">
        <v>519.12</v>
      </c>
      <c r="F24" s="260">
        <v>-519.12</v>
      </c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519.12</v>
      </c>
    </row>
    <row r="25" s="5" customFormat="1" spans="1:16">
      <c r="A25" s="199"/>
      <c r="B25" s="24"/>
      <c r="C25" s="25" t="s">
        <v>91</v>
      </c>
      <c r="D25" s="21">
        <v>5396.88</v>
      </c>
      <c r="E25" s="260">
        <v>5122.16</v>
      </c>
      <c r="F25" s="260">
        <v>-137.27</v>
      </c>
      <c r="G25" s="260">
        <v>2423.76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12805.53</v>
      </c>
    </row>
    <row r="26" s="5" customFormat="1" spans="1:16">
      <c r="A26" s="199"/>
      <c r="B26" s="23"/>
      <c r="C26" s="25" t="s">
        <v>92</v>
      </c>
      <c r="D26" s="21">
        <v>337.4</v>
      </c>
      <c r="E26" s="260">
        <v>320.23</v>
      </c>
      <c r="F26" s="260">
        <v>116.09</v>
      </c>
      <c r="G26" s="260">
        <v>212.16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985.88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>
        <v>1825.5</v>
      </c>
      <c r="F29" s="260"/>
      <c r="G29" s="260">
        <v>3700.7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5526.2</v>
      </c>
    </row>
    <row r="30" s="5" customFormat="1" spans="1:16">
      <c r="A30" s="202"/>
      <c r="B30" s="26" t="s">
        <v>98</v>
      </c>
      <c r="C30" s="25" t="s">
        <v>98</v>
      </c>
      <c r="D30" s="21"/>
      <c r="E30" s="260">
        <v>9840</v>
      </c>
      <c r="F30" s="260">
        <v>5195</v>
      </c>
      <c r="G30" s="260">
        <v>19691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34726</v>
      </c>
    </row>
    <row r="31" s="5" customFormat="1" spans="1:16">
      <c r="A31" s="202"/>
      <c r="B31" s="19" t="s">
        <v>99</v>
      </c>
      <c r="C31" s="25" t="s">
        <v>100</v>
      </c>
      <c r="D31" s="21">
        <v>-714.48</v>
      </c>
      <c r="E31" s="260"/>
      <c r="F31" s="260">
        <v>4557.53</v>
      </c>
      <c r="G31" s="260">
        <v>2273.7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6116.75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>
        <v>2456.31</v>
      </c>
      <c r="E34" s="260">
        <v>3863.25</v>
      </c>
      <c r="F34" s="260">
        <v>6160.08</v>
      </c>
      <c r="G34" s="260">
        <v>13793.72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26273.36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>
        <v>2805.34</v>
      </c>
      <c r="E36" s="260">
        <v>1954.17</v>
      </c>
      <c r="F36" s="260">
        <v>15562</v>
      </c>
      <c r="G36" s="260">
        <v>5301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25622.51</v>
      </c>
    </row>
    <row r="37" s="5" customFormat="1" spans="1:16">
      <c r="A37" s="202"/>
      <c r="B37" s="26" t="s">
        <v>107</v>
      </c>
      <c r="C37" s="25" t="s">
        <v>107</v>
      </c>
      <c r="D37" s="21">
        <v>45010</v>
      </c>
      <c r="E37" s="260">
        <v>2950</v>
      </c>
      <c r="F37" s="260">
        <v>5788.01</v>
      </c>
      <c r="G37" s="260">
        <v>34976.6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88724.61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>
        <v>1666</v>
      </c>
      <c r="G41" s="260">
        <v>58470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60136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>
        <v>5507</v>
      </c>
      <c r="F42" s="260">
        <v>1396</v>
      </c>
      <c r="G42" s="260">
        <v>3286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10189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73180.87</v>
      </c>
      <c r="E46" s="260">
        <v>73181.13</v>
      </c>
      <c r="F46" s="260">
        <v>73146.79</v>
      </c>
      <c r="G46" s="260">
        <v>73015.94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292524.73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4">
        <v>36355.19</v>
      </c>
      <c r="E48" s="260">
        <v>36355.19</v>
      </c>
      <c r="F48" s="260">
        <v>168533.09</v>
      </c>
      <c r="G48" s="260">
        <v>71362.72</v>
      </c>
      <c r="H48" s="307"/>
      <c r="I48" s="307"/>
      <c r="J48" s="307"/>
      <c r="K48" s="307"/>
      <c r="L48" s="307"/>
      <c r="M48" s="307"/>
      <c r="N48" s="307"/>
      <c r="O48" s="260"/>
      <c r="P48" s="47">
        <f t="shared" si="0"/>
        <v>312606.19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>
        <v>5472.92</v>
      </c>
      <c r="E52" s="260">
        <v>48927.08</v>
      </c>
      <c r="F52" s="260">
        <v>9506.01</v>
      </c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63906.01</v>
      </c>
    </row>
    <row r="53" s="5" customFormat="1" spans="1:16">
      <c r="A53" s="211"/>
      <c r="B53" s="24"/>
      <c r="C53" s="207" t="s">
        <v>128</v>
      </c>
      <c r="D53" s="21">
        <v>-7200</v>
      </c>
      <c r="E53" s="260">
        <v>500</v>
      </c>
      <c r="F53" s="260">
        <v>1087.38</v>
      </c>
      <c r="G53" s="260">
        <v>17169.81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11557.19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>
        <v>8192.33</v>
      </c>
      <c r="E65" s="260">
        <v>5119.87</v>
      </c>
      <c r="F65" s="260">
        <v>8378.57</v>
      </c>
      <c r="G65" s="260">
        <v>8912.29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30603.06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>
        <v>849</v>
      </c>
      <c r="E70" s="260">
        <v>1195</v>
      </c>
      <c r="F70" s="260">
        <v>1139</v>
      </c>
      <c r="G70" s="260">
        <v>1311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4494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>
        <v>14385.93</v>
      </c>
      <c r="G80" s="260">
        <v>8406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22791.93</v>
      </c>
    </row>
    <row r="81" s="5" customFormat="1" spans="1:16">
      <c r="A81" s="224"/>
      <c r="B81" s="26" t="s">
        <v>162</v>
      </c>
      <c r="C81" s="25" t="s">
        <v>162</v>
      </c>
      <c r="D81" s="21">
        <v>30</v>
      </c>
      <c r="E81" s="260"/>
      <c r="F81" s="260">
        <v>5325</v>
      </c>
      <c r="G81" s="260">
        <v>22760.15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28115.15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>
        <v>3000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3000</v>
      </c>
    </row>
    <row r="83" s="5" customFormat="1" spans="1:16">
      <c r="A83" s="224"/>
      <c r="B83" s="24"/>
      <c r="C83" s="25" t="s">
        <v>165</v>
      </c>
      <c r="D83" s="21"/>
      <c r="E83" s="260">
        <v>22575.47</v>
      </c>
      <c r="F83" s="260">
        <v>195621.07</v>
      </c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218196.54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>
        <v>433.1</v>
      </c>
      <c r="G85" s="260">
        <v>21631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22064.1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112922.64</v>
      </c>
      <c r="E91" s="260">
        <v>124886.48</v>
      </c>
      <c r="F91" s="260">
        <v>39680.19</v>
      </c>
      <c r="G91" s="260">
        <v>117467.42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394956.73</v>
      </c>
    </row>
    <row r="92" s="5" customFormat="1" spans="1:16">
      <c r="A92" s="231"/>
      <c r="B92" s="26" t="s">
        <v>83</v>
      </c>
      <c r="C92" s="207" t="s">
        <v>83</v>
      </c>
      <c r="D92" s="21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634083.46</v>
      </c>
      <c r="E93" s="58">
        <f t="shared" ref="E93:P93" si="2">SUM(E6:E92)</f>
        <v>620027.36</v>
      </c>
      <c r="F93" s="58">
        <f t="shared" si="2"/>
        <v>751153.03</v>
      </c>
      <c r="G93" s="58">
        <f t="shared" si="2"/>
        <v>713313.45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2718577.3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>
        <f>D93</f>
        <v>634083.46</v>
      </c>
      <c r="E96" s="47">
        <f t="shared" ref="E96:O96" si="3">E93</f>
        <v>620027.36</v>
      </c>
      <c r="F96" s="47">
        <f t="shared" si="3"/>
        <v>751153.03</v>
      </c>
      <c r="G96" s="47">
        <f t="shared" si="3"/>
        <v>713313.45</v>
      </c>
      <c r="H96" s="47">
        <f t="shared" si="3"/>
        <v>0</v>
      </c>
      <c r="I96" s="47">
        <f t="shared" si="3"/>
        <v>0</v>
      </c>
      <c r="J96" s="47">
        <f t="shared" si="3"/>
        <v>0</v>
      </c>
      <c r="K96" s="47">
        <f t="shared" si="3"/>
        <v>0</v>
      </c>
      <c r="L96" s="47">
        <f t="shared" si="3"/>
        <v>0</v>
      </c>
      <c r="M96" s="47">
        <f t="shared" si="3"/>
        <v>0</v>
      </c>
      <c r="N96" s="47">
        <f t="shared" si="3"/>
        <v>0</v>
      </c>
      <c r="O96" s="47">
        <f t="shared" si="3"/>
        <v>0</v>
      </c>
      <c r="P96" s="47">
        <f t="shared" si="1"/>
        <v>2718577.3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47"/>
      <c r="H98" s="47"/>
      <c r="I98" s="47"/>
      <c r="J98" s="47"/>
      <c r="K98" s="236"/>
      <c r="L98" s="236"/>
      <c r="M98" s="236"/>
      <c r="N98" s="236"/>
      <c r="O98" s="236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14">
      <c r="D101" s="259"/>
      <c r="F101" s="6">
        <v>751153.03</v>
      </c>
      <c r="N101" s="157"/>
    </row>
    <row r="102" spans="5:5">
      <c r="E102" s="157"/>
    </row>
    <row r="103" spans="16:16"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219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47">
        <f>SUM(D6:O6)</f>
        <v>0</v>
      </c>
      <c r="Q6" s="48">
        <f>P6+P7+P8+P19+P22+P23+P24+P25+P26</f>
        <v>0</v>
      </c>
      <c r="R6" s="48">
        <f>Q6</f>
        <v>0</v>
      </c>
      <c r="S6" s="5">
        <f>R6/10000</f>
        <v>0</v>
      </c>
    </row>
    <row r="7" s="5" customForma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spans="1:16">
      <c r="A24" s="199"/>
      <c r="B24" s="24"/>
      <c r="C24" s="25" t="s">
        <v>90</v>
      </c>
      <c r="D24" s="21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4"/>
      <c r="E48" s="260"/>
      <c r="F48" s="260"/>
      <c r="G48" s="260"/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>
        <v>5500</v>
      </c>
      <c r="F76" s="260"/>
      <c r="G76" s="260">
        <v>-5500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0</v>
      </c>
      <c r="E93" s="58">
        <f t="shared" ref="E93:P93" si="2">SUM(E6:E92)</f>
        <v>5500</v>
      </c>
      <c r="F93" s="58">
        <f t="shared" si="2"/>
        <v>0</v>
      </c>
      <c r="G93" s="58">
        <f t="shared" si="2"/>
        <v>-5500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>
        <f>D93</f>
        <v>0</v>
      </c>
      <c r="E95" s="235">
        <f t="shared" ref="E95:O95" si="3">E93</f>
        <v>5500</v>
      </c>
      <c r="F95" s="235">
        <f t="shared" si="3"/>
        <v>0</v>
      </c>
      <c r="G95" s="235">
        <f t="shared" si="3"/>
        <v>-5500</v>
      </c>
      <c r="H95" s="235">
        <f t="shared" si="3"/>
        <v>0</v>
      </c>
      <c r="I95" s="235">
        <f t="shared" si="3"/>
        <v>0</v>
      </c>
      <c r="J95" s="235">
        <f t="shared" si="3"/>
        <v>0</v>
      </c>
      <c r="K95" s="235">
        <f t="shared" si="3"/>
        <v>0</v>
      </c>
      <c r="L95" s="235">
        <f t="shared" si="3"/>
        <v>0</v>
      </c>
      <c r="M95" s="235">
        <f t="shared" si="3"/>
        <v>0</v>
      </c>
      <c r="N95" s="235">
        <f t="shared" si="3"/>
        <v>0</v>
      </c>
      <c r="O95" s="235">
        <f t="shared" si="3"/>
        <v>0</v>
      </c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236"/>
      <c r="H98" s="236"/>
      <c r="I98" s="236"/>
      <c r="J98" s="236"/>
      <c r="K98" s="236"/>
      <c r="L98" s="236"/>
      <c r="M98" s="236"/>
      <c r="N98" s="236"/>
      <c r="O98" s="236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4">
      <c r="D101" s="259"/>
    </row>
    <row r="102" spans="4:4">
      <c r="D102" s="68"/>
    </row>
    <row r="103" spans="16:16"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220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">
        <v>211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6220</v>
      </c>
      <c r="E6" s="260">
        <v>7320</v>
      </c>
      <c r="F6" s="260">
        <v>7420</v>
      </c>
      <c r="G6" s="47">
        <v>6520</v>
      </c>
      <c r="H6" s="47"/>
      <c r="I6" s="260"/>
      <c r="J6" s="260"/>
      <c r="K6" s="260"/>
      <c r="L6" s="260"/>
      <c r="M6" s="260"/>
      <c r="N6" s="47"/>
      <c r="O6" s="260"/>
      <c r="P6" s="47">
        <f>SUM(D6:O6)</f>
        <v>27480</v>
      </c>
      <c r="Q6" s="48">
        <f>P6+P7+P8+P19+P22+P23+P24+P25+P26</f>
        <v>26844.12</v>
      </c>
      <c r="R6" s="48">
        <f>Q6</f>
        <v>26844.12</v>
      </c>
      <c r="S6" s="5">
        <f>R6/10000</f>
        <v>2.684412</v>
      </c>
    </row>
    <row r="7" s="5" customFormat="1" spans="1:16">
      <c r="A7" s="199"/>
      <c r="B7" s="23"/>
      <c r="C7" s="20" t="s">
        <v>71</v>
      </c>
      <c r="D7" s="21">
        <v>-5329.64</v>
      </c>
      <c r="E7" s="260">
        <v>567</v>
      </c>
      <c r="F7" s="260">
        <v>567</v>
      </c>
      <c r="G7" s="47">
        <v>567</v>
      </c>
      <c r="H7" s="47"/>
      <c r="I7" s="260"/>
      <c r="J7" s="260"/>
      <c r="K7" s="260"/>
      <c r="L7" s="260"/>
      <c r="M7" s="260"/>
      <c r="N7" s="47"/>
      <c r="O7" s="260"/>
      <c r="P7" s="47">
        <f t="shared" ref="P7:P70" si="0">SUM(D7:O7)</f>
        <v>-3628.64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/>
      <c r="G8" s="47"/>
      <c r="H8" s="47"/>
      <c r="I8" s="260"/>
      <c r="J8" s="260"/>
      <c r="K8" s="260"/>
      <c r="L8" s="260"/>
      <c r="M8" s="260"/>
      <c r="N8" s="47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47"/>
      <c r="H9" s="47"/>
      <c r="I9" s="260"/>
      <c r="J9" s="260"/>
      <c r="K9" s="260"/>
      <c r="L9" s="260"/>
      <c r="M9" s="260"/>
      <c r="N9" s="47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/>
      <c r="G10" s="47"/>
      <c r="H10" s="47"/>
      <c r="I10" s="260"/>
      <c r="J10" s="260"/>
      <c r="K10" s="260"/>
      <c r="L10" s="260"/>
      <c r="M10" s="260"/>
      <c r="N10" s="47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/>
      <c r="E11" s="260"/>
      <c r="F11" s="260"/>
      <c r="G11" s="47"/>
      <c r="H11" s="47"/>
      <c r="I11" s="260"/>
      <c r="J11" s="260"/>
      <c r="K11" s="260"/>
      <c r="L11" s="260"/>
      <c r="M11" s="260"/>
      <c r="N11" s="47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/>
      <c r="F12" s="260"/>
      <c r="G12" s="47"/>
      <c r="H12" s="47"/>
      <c r="I12" s="260"/>
      <c r="J12" s="260"/>
      <c r="K12" s="260"/>
      <c r="L12" s="260"/>
      <c r="M12" s="260"/>
      <c r="N12" s="47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47"/>
      <c r="H13" s="47"/>
      <c r="I13" s="260"/>
      <c r="J13" s="260"/>
      <c r="K13" s="260"/>
      <c r="L13" s="260"/>
      <c r="M13" s="260"/>
      <c r="N13" s="47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/>
      <c r="G14" s="47"/>
      <c r="H14" s="47"/>
      <c r="I14" s="260"/>
      <c r="J14" s="260"/>
      <c r="K14" s="260"/>
      <c r="L14" s="260"/>
      <c r="M14" s="260"/>
      <c r="N14" s="47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47"/>
      <c r="H15" s="47"/>
      <c r="I15" s="260"/>
      <c r="J15" s="260"/>
      <c r="K15" s="260"/>
      <c r="L15" s="260"/>
      <c r="M15" s="260"/>
      <c r="N15" s="47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47"/>
      <c r="H16" s="47"/>
      <c r="I16" s="260"/>
      <c r="J16" s="260"/>
      <c r="K16" s="260"/>
      <c r="L16" s="260"/>
      <c r="M16" s="260"/>
      <c r="N16" s="47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47"/>
      <c r="H17" s="47"/>
      <c r="I17" s="260"/>
      <c r="J17" s="260"/>
      <c r="K17" s="260"/>
      <c r="L17" s="260"/>
      <c r="M17" s="260"/>
      <c r="N17" s="47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/>
      <c r="F18" s="260"/>
      <c r="G18" s="47"/>
      <c r="H18" s="47"/>
      <c r="I18" s="260"/>
      <c r="J18" s="260"/>
      <c r="K18" s="260"/>
      <c r="L18" s="260"/>
      <c r="M18" s="260"/>
      <c r="N18" s="47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>
        <v>270</v>
      </c>
      <c r="E19" s="21">
        <v>270</v>
      </c>
      <c r="F19" s="260">
        <v>270</v>
      </c>
      <c r="G19" s="47">
        <v>270</v>
      </c>
      <c r="H19" s="47"/>
      <c r="I19" s="260"/>
      <c r="J19" s="260"/>
      <c r="K19" s="260"/>
      <c r="L19" s="260"/>
      <c r="M19" s="260"/>
      <c r="N19" s="47"/>
      <c r="O19" s="260"/>
      <c r="P19" s="47">
        <f t="shared" si="0"/>
        <v>1080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47"/>
      <c r="H20" s="47"/>
      <c r="I20" s="260"/>
      <c r="J20" s="260"/>
      <c r="K20" s="260"/>
      <c r="L20" s="260"/>
      <c r="M20" s="260"/>
      <c r="N20" s="47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47"/>
      <c r="H21" s="47"/>
      <c r="I21" s="260"/>
      <c r="J21" s="260"/>
      <c r="K21" s="260"/>
      <c r="L21" s="260"/>
      <c r="M21" s="260"/>
      <c r="N21" s="47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>
        <v>532.42</v>
      </c>
      <c r="E22" s="21">
        <v>532.42</v>
      </c>
      <c r="F22" s="260">
        <v>-532.42</v>
      </c>
      <c r="G22" s="47"/>
      <c r="H22" s="47"/>
      <c r="I22" s="260"/>
      <c r="J22" s="260"/>
      <c r="K22" s="260"/>
      <c r="L22" s="260"/>
      <c r="M22" s="260"/>
      <c r="N22" s="47"/>
      <c r="O22" s="260"/>
      <c r="P22" s="47">
        <f t="shared" si="0"/>
        <v>532.42</v>
      </c>
    </row>
    <row r="23" s="5" customFormat="1" spans="1:16">
      <c r="A23" s="199"/>
      <c r="B23" s="24"/>
      <c r="C23" s="25" t="s">
        <v>89</v>
      </c>
      <c r="D23" s="21">
        <v>10.08</v>
      </c>
      <c r="E23" s="21">
        <v>10.08</v>
      </c>
      <c r="F23" s="260">
        <v>-10.08</v>
      </c>
      <c r="G23" s="47"/>
      <c r="H23" s="47"/>
      <c r="I23" s="260"/>
      <c r="J23" s="260"/>
      <c r="K23" s="260"/>
      <c r="L23" s="260"/>
      <c r="M23" s="260"/>
      <c r="N23" s="47"/>
      <c r="O23" s="260"/>
      <c r="P23" s="47">
        <f t="shared" si="0"/>
        <v>10.08</v>
      </c>
    </row>
    <row r="24" s="5" customFormat="1" spans="1:16">
      <c r="A24" s="199"/>
      <c r="B24" s="24"/>
      <c r="C24" s="25" t="s">
        <v>90</v>
      </c>
      <c r="D24" s="21">
        <v>2.1</v>
      </c>
      <c r="E24" s="21">
        <v>2.1</v>
      </c>
      <c r="F24" s="260">
        <v>-2.1</v>
      </c>
      <c r="G24" s="47"/>
      <c r="H24" s="47"/>
      <c r="I24" s="260"/>
      <c r="J24" s="260"/>
      <c r="K24" s="260"/>
      <c r="L24" s="260"/>
      <c r="M24" s="260"/>
      <c r="N24" s="47"/>
      <c r="O24" s="260"/>
      <c r="P24" s="47">
        <f t="shared" si="0"/>
        <v>2.1</v>
      </c>
    </row>
    <row r="25" s="5" customFormat="1" spans="1:16">
      <c r="A25" s="199"/>
      <c r="B25" s="24"/>
      <c r="C25" s="25" t="s">
        <v>91</v>
      </c>
      <c r="D25" s="21">
        <v>378.39</v>
      </c>
      <c r="E25" s="21">
        <v>378.39</v>
      </c>
      <c r="F25" s="260">
        <v>154.71</v>
      </c>
      <c r="G25" s="47">
        <v>266.55</v>
      </c>
      <c r="H25" s="47"/>
      <c r="I25" s="260"/>
      <c r="J25" s="260"/>
      <c r="K25" s="260"/>
      <c r="L25" s="260"/>
      <c r="M25" s="260"/>
      <c r="N25" s="47"/>
      <c r="O25" s="260"/>
      <c r="P25" s="47">
        <f t="shared" si="0"/>
        <v>1178.04</v>
      </c>
    </row>
    <row r="26" s="5" customFormat="1" spans="1:16">
      <c r="A26" s="199"/>
      <c r="B26" s="23"/>
      <c r="C26" s="25" t="s">
        <v>92</v>
      </c>
      <c r="D26" s="21">
        <v>47.53</v>
      </c>
      <c r="E26" s="21">
        <v>47.53</v>
      </c>
      <c r="F26" s="260">
        <v>47.53</v>
      </c>
      <c r="G26" s="47">
        <v>47.53</v>
      </c>
      <c r="H26" s="47"/>
      <c r="I26" s="260"/>
      <c r="J26" s="260"/>
      <c r="K26" s="260"/>
      <c r="L26" s="260"/>
      <c r="M26" s="260"/>
      <c r="N26" s="47"/>
      <c r="O26" s="260"/>
      <c r="P26" s="47">
        <f t="shared" si="0"/>
        <v>190.12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47"/>
      <c r="H27" s="47"/>
      <c r="I27" s="260"/>
      <c r="J27" s="260"/>
      <c r="K27" s="260"/>
      <c r="L27" s="260"/>
      <c r="M27" s="260"/>
      <c r="N27" s="47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47"/>
      <c r="H28" s="47"/>
      <c r="I28" s="260"/>
      <c r="J28" s="260"/>
      <c r="K28" s="260"/>
      <c r="L28" s="260"/>
      <c r="M28" s="260"/>
      <c r="N28" s="47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47"/>
      <c r="H29" s="47"/>
      <c r="I29" s="260"/>
      <c r="J29" s="260"/>
      <c r="K29" s="260"/>
      <c r="L29" s="260"/>
      <c r="M29" s="260"/>
      <c r="N29" s="47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47"/>
      <c r="H30" s="47"/>
      <c r="I30" s="260"/>
      <c r="J30" s="260"/>
      <c r="K30" s="260"/>
      <c r="L30" s="260"/>
      <c r="M30" s="260"/>
      <c r="N30" s="47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47"/>
      <c r="H31" s="47"/>
      <c r="I31" s="260"/>
      <c r="J31" s="260"/>
      <c r="K31" s="260"/>
      <c r="L31" s="260"/>
      <c r="M31" s="260"/>
      <c r="N31" s="47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47"/>
      <c r="H32" s="47"/>
      <c r="I32" s="260"/>
      <c r="J32" s="260"/>
      <c r="K32" s="260"/>
      <c r="L32" s="260"/>
      <c r="M32" s="260"/>
      <c r="N32" s="47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/>
      <c r="G33" s="47"/>
      <c r="H33" s="47"/>
      <c r="I33" s="260"/>
      <c r="J33" s="260"/>
      <c r="K33" s="260"/>
      <c r="L33" s="260"/>
      <c r="M33" s="260"/>
      <c r="N33" s="47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/>
      <c r="F34" s="260"/>
      <c r="G34" s="47"/>
      <c r="H34" s="47"/>
      <c r="I34" s="260"/>
      <c r="J34" s="260"/>
      <c r="K34" s="260"/>
      <c r="L34" s="260"/>
      <c r="M34" s="260"/>
      <c r="N34" s="47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47"/>
      <c r="H35" s="47"/>
      <c r="I35" s="260"/>
      <c r="J35" s="260"/>
      <c r="K35" s="260"/>
      <c r="L35" s="260"/>
      <c r="M35" s="260"/>
      <c r="N35" s="47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/>
      <c r="G36" s="47"/>
      <c r="H36" s="47"/>
      <c r="I36" s="260"/>
      <c r="J36" s="260"/>
      <c r="K36" s="260"/>
      <c r="L36" s="260"/>
      <c r="M36" s="260"/>
      <c r="N36" s="47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/>
      <c r="G37" s="47"/>
      <c r="H37" s="47"/>
      <c r="I37" s="260"/>
      <c r="J37" s="260"/>
      <c r="K37" s="260"/>
      <c r="L37" s="260"/>
      <c r="M37" s="260"/>
      <c r="N37" s="47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47"/>
      <c r="H38" s="47"/>
      <c r="I38" s="260"/>
      <c r="J38" s="260"/>
      <c r="K38" s="260"/>
      <c r="L38" s="260"/>
      <c r="M38" s="260"/>
      <c r="N38" s="47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47"/>
      <c r="H39" s="47"/>
      <c r="I39" s="260"/>
      <c r="J39" s="260"/>
      <c r="K39" s="260"/>
      <c r="L39" s="260"/>
      <c r="M39" s="260"/>
      <c r="N39" s="47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47"/>
      <c r="H40" s="47"/>
      <c r="I40" s="260"/>
      <c r="J40" s="260"/>
      <c r="K40" s="260"/>
      <c r="L40" s="260"/>
      <c r="M40" s="260"/>
      <c r="N40" s="47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47"/>
      <c r="H41" s="47"/>
      <c r="I41" s="260"/>
      <c r="J41" s="260"/>
      <c r="K41" s="260"/>
      <c r="L41" s="260"/>
      <c r="M41" s="260"/>
      <c r="N41" s="47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/>
      <c r="G42" s="47"/>
      <c r="H42" s="47"/>
      <c r="I42" s="260"/>
      <c r="J42" s="260"/>
      <c r="K42" s="260"/>
      <c r="L42" s="260"/>
      <c r="M42" s="260"/>
      <c r="N42" s="47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47"/>
      <c r="H43" s="47"/>
      <c r="I43" s="260"/>
      <c r="J43" s="260"/>
      <c r="K43" s="260"/>
      <c r="L43" s="260"/>
      <c r="M43" s="260"/>
      <c r="N43" s="47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47"/>
      <c r="H44" s="47"/>
      <c r="I44" s="260"/>
      <c r="J44" s="260"/>
      <c r="K44" s="260"/>
      <c r="L44" s="260"/>
      <c r="M44" s="260"/>
      <c r="N44" s="47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47"/>
      <c r="H45" s="47"/>
      <c r="I45" s="260"/>
      <c r="J45" s="260"/>
      <c r="K45" s="260"/>
      <c r="L45" s="260"/>
      <c r="M45" s="260"/>
      <c r="N45" s="47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/>
      <c r="E46" s="260"/>
      <c r="F46" s="260">
        <v>5066.69</v>
      </c>
      <c r="G46" s="47">
        <v>5066.69</v>
      </c>
      <c r="H46" s="47"/>
      <c r="I46" s="260"/>
      <c r="J46" s="260"/>
      <c r="K46" s="260"/>
      <c r="L46" s="260"/>
      <c r="M46" s="260"/>
      <c r="N46" s="47"/>
      <c r="O46" s="260"/>
      <c r="P46" s="47">
        <f t="shared" si="0"/>
        <v>10133.38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/>
      <c r="F47" s="260"/>
      <c r="G47" s="47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4">
        <v>4360</v>
      </c>
      <c r="E48" s="260">
        <v>4360</v>
      </c>
      <c r="F48" s="307">
        <v>4360</v>
      </c>
      <c r="G48" s="47">
        <v>4360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17440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47"/>
      <c r="H49" s="47"/>
      <c r="I49" s="260"/>
      <c r="J49" s="260"/>
      <c r="K49" s="260"/>
      <c r="L49" s="260"/>
      <c r="M49" s="260"/>
      <c r="N49" s="47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47"/>
      <c r="H50" s="47"/>
      <c r="I50" s="260"/>
      <c r="J50" s="260"/>
      <c r="K50" s="260"/>
      <c r="L50" s="260"/>
      <c r="M50" s="260"/>
      <c r="N50" s="47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47"/>
      <c r="H51" s="47"/>
      <c r="I51" s="260"/>
      <c r="J51" s="260"/>
      <c r="K51" s="260"/>
      <c r="L51" s="260"/>
      <c r="M51" s="260"/>
      <c r="N51" s="47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47"/>
      <c r="H52" s="47"/>
      <c r="I52" s="260"/>
      <c r="J52" s="260"/>
      <c r="K52" s="260"/>
      <c r="L52" s="260"/>
      <c r="M52" s="260"/>
      <c r="N52" s="47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47"/>
      <c r="H53" s="47"/>
      <c r="I53" s="260"/>
      <c r="J53" s="260"/>
      <c r="K53" s="260"/>
      <c r="L53" s="260"/>
      <c r="M53" s="260"/>
      <c r="N53" s="47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47"/>
      <c r="H54" s="47"/>
      <c r="I54" s="260"/>
      <c r="J54" s="260"/>
      <c r="K54" s="260"/>
      <c r="L54" s="260"/>
      <c r="M54" s="260"/>
      <c r="N54" s="47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47"/>
      <c r="H55" s="47"/>
      <c r="I55" s="260"/>
      <c r="J55" s="260"/>
      <c r="K55" s="260"/>
      <c r="L55" s="260"/>
      <c r="M55" s="260"/>
      <c r="N55" s="47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47"/>
      <c r="H56" s="47"/>
      <c r="I56" s="260"/>
      <c r="J56" s="260"/>
      <c r="K56" s="260"/>
      <c r="L56" s="260"/>
      <c r="M56" s="260"/>
      <c r="N56" s="47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47"/>
      <c r="H57" s="47"/>
      <c r="I57" s="260"/>
      <c r="J57" s="260"/>
      <c r="K57" s="260"/>
      <c r="L57" s="260"/>
      <c r="M57" s="260"/>
      <c r="N57" s="47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47"/>
      <c r="H58" s="47"/>
      <c r="I58" s="260"/>
      <c r="J58" s="260"/>
      <c r="K58" s="260"/>
      <c r="L58" s="260"/>
      <c r="M58" s="260"/>
      <c r="N58" s="47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47"/>
      <c r="H59" s="47"/>
      <c r="I59" s="260"/>
      <c r="J59" s="260"/>
      <c r="K59" s="260"/>
      <c r="L59" s="260"/>
      <c r="M59" s="260"/>
      <c r="N59" s="47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47"/>
      <c r="H60" s="47"/>
      <c r="I60" s="260"/>
      <c r="J60" s="260"/>
      <c r="K60" s="260"/>
      <c r="L60" s="260"/>
      <c r="M60" s="260"/>
      <c r="N60" s="47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47"/>
      <c r="H61" s="47"/>
      <c r="I61" s="260"/>
      <c r="J61" s="260"/>
      <c r="K61" s="260"/>
      <c r="L61" s="260"/>
      <c r="M61" s="260"/>
      <c r="N61" s="47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47"/>
      <c r="H62" s="47"/>
      <c r="I62" s="260"/>
      <c r="J62" s="260"/>
      <c r="K62" s="260"/>
      <c r="L62" s="260"/>
      <c r="M62" s="260"/>
      <c r="N62" s="47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47"/>
      <c r="H63" s="47"/>
      <c r="I63" s="260"/>
      <c r="J63" s="260"/>
      <c r="K63" s="260"/>
      <c r="L63" s="260"/>
      <c r="M63" s="260"/>
      <c r="N63" s="47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47"/>
      <c r="H64" s="47"/>
      <c r="I64" s="260"/>
      <c r="J64" s="260"/>
      <c r="K64" s="260"/>
      <c r="L64" s="260"/>
      <c r="M64" s="260"/>
      <c r="N64" s="47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/>
      <c r="F65" s="260"/>
      <c r="G65" s="47"/>
      <c r="H65" s="47"/>
      <c r="I65" s="260"/>
      <c r="J65" s="260"/>
      <c r="K65" s="260"/>
      <c r="L65" s="260"/>
      <c r="M65" s="260"/>
      <c r="N65" s="47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47"/>
      <c r="H66" s="47"/>
      <c r="I66" s="260"/>
      <c r="J66" s="260"/>
      <c r="K66" s="260"/>
      <c r="L66" s="260"/>
      <c r="M66" s="260"/>
      <c r="N66" s="47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47"/>
      <c r="H67" s="47"/>
      <c r="I67" s="260"/>
      <c r="J67" s="260"/>
      <c r="K67" s="260"/>
      <c r="L67" s="260"/>
      <c r="M67" s="260"/>
      <c r="N67" s="47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47"/>
      <c r="H68" s="47"/>
      <c r="I68" s="260"/>
      <c r="J68" s="260"/>
      <c r="K68" s="260"/>
      <c r="L68" s="260"/>
      <c r="M68" s="260"/>
      <c r="N68" s="47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47"/>
      <c r="H69" s="47"/>
      <c r="I69" s="260"/>
      <c r="J69" s="260"/>
      <c r="K69" s="260"/>
      <c r="L69" s="260"/>
      <c r="M69" s="260"/>
      <c r="N69" s="47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/>
      <c r="F70" s="260"/>
      <c r="G70" s="47"/>
      <c r="H70" s="47"/>
      <c r="I70" s="260"/>
      <c r="J70" s="260"/>
      <c r="K70" s="260"/>
      <c r="L70" s="260"/>
      <c r="M70" s="260"/>
      <c r="N70" s="47"/>
      <c r="O70" s="260"/>
      <c r="P70" s="47">
        <f t="shared" si="0"/>
        <v>0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47"/>
      <c r="H71" s="47"/>
      <c r="I71" s="260"/>
      <c r="J71" s="260"/>
      <c r="K71" s="260"/>
      <c r="L71" s="260"/>
      <c r="M71" s="260"/>
      <c r="N71" s="47"/>
      <c r="O71" s="47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47"/>
      <c r="H72" s="47"/>
      <c r="I72" s="260"/>
      <c r="J72" s="260"/>
      <c r="K72" s="260"/>
      <c r="L72" s="260"/>
      <c r="M72" s="260"/>
      <c r="N72" s="47"/>
      <c r="O72" s="47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47"/>
      <c r="H73" s="47"/>
      <c r="I73" s="260"/>
      <c r="J73" s="260"/>
      <c r="K73" s="260"/>
      <c r="L73" s="260"/>
      <c r="M73" s="260"/>
      <c r="N73" s="47"/>
      <c r="O73" s="47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47"/>
      <c r="H74" s="47"/>
      <c r="I74" s="260"/>
      <c r="J74" s="260"/>
      <c r="K74" s="260"/>
      <c r="L74" s="260"/>
      <c r="M74" s="260"/>
      <c r="N74" s="47"/>
      <c r="O74" s="47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47"/>
      <c r="H75" s="47"/>
      <c r="I75" s="260"/>
      <c r="J75" s="260"/>
      <c r="K75" s="260"/>
      <c r="L75" s="260"/>
      <c r="M75" s="260"/>
      <c r="N75" s="47"/>
      <c r="O75" s="47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47"/>
      <c r="H76" s="47"/>
      <c r="I76" s="260"/>
      <c r="J76" s="260"/>
      <c r="K76" s="260"/>
      <c r="L76" s="260"/>
      <c r="M76" s="260"/>
      <c r="N76" s="260"/>
      <c r="O76" s="47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47"/>
      <c r="H77" s="47"/>
      <c r="I77" s="260"/>
      <c r="J77" s="260"/>
      <c r="K77" s="260"/>
      <c r="L77" s="260"/>
      <c r="M77" s="260"/>
      <c r="N77" s="47"/>
      <c r="O77" s="47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47"/>
      <c r="H78" s="47"/>
      <c r="I78" s="260"/>
      <c r="J78" s="260"/>
      <c r="K78" s="260"/>
      <c r="L78" s="260"/>
      <c r="M78" s="260"/>
      <c r="N78" s="47"/>
      <c r="O78" s="47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47"/>
      <c r="H79" s="47"/>
      <c r="I79" s="260"/>
      <c r="J79" s="260"/>
      <c r="K79" s="260"/>
      <c r="L79" s="260"/>
      <c r="M79" s="260"/>
      <c r="N79" s="47"/>
      <c r="O79" s="47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47"/>
      <c r="H80" s="47"/>
      <c r="I80" s="260"/>
      <c r="J80" s="260"/>
      <c r="K80" s="260"/>
      <c r="L80" s="260"/>
      <c r="M80" s="260"/>
      <c r="N80" s="47"/>
      <c r="O80" s="47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47"/>
      <c r="H81" s="47"/>
      <c r="I81" s="260"/>
      <c r="J81" s="260"/>
      <c r="K81" s="260"/>
      <c r="L81" s="260"/>
      <c r="M81" s="260"/>
      <c r="N81" s="47"/>
      <c r="O81" s="47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47"/>
      <c r="H82" s="47"/>
      <c r="I82" s="260"/>
      <c r="J82" s="260"/>
      <c r="K82" s="260"/>
      <c r="L82" s="260"/>
      <c r="M82" s="260"/>
      <c r="N82" s="47"/>
      <c r="O82" s="47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47"/>
      <c r="H83" s="47"/>
      <c r="I83" s="260"/>
      <c r="J83" s="260"/>
      <c r="K83" s="260"/>
      <c r="L83" s="260"/>
      <c r="M83" s="260"/>
      <c r="N83" s="47"/>
      <c r="O83" s="47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47"/>
      <c r="H84" s="47"/>
      <c r="I84" s="260"/>
      <c r="J84" s="260"/>
      <c r="K84" s="260"/>
      <c r="L84" s="260"/>
      <c r="M84" s="260"/>
      <c r="N84" s="47"/>
      <c r="O84" s="47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/>
      <c r="G85" s="47"/>
      <c r="H85" s="47"/>
      <c r="I85" s="260"/>
      <c r="J85" s="260"/>
      <c r="K85" s="260"/>
      <c r="L85" s="260"/>
      <c r="M85" s="260"/>
      <c r="N85" s="47"/>
      <c r="O85" s="47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47"/>
      <c r="H86" s="47"/>
      <c r="I86" s="260"/>
      <c r="J86" s="260"/>
      <c r="K86" s="260"/>
      <c r="L86" s="260"/>
      <c r="M86" s="260"/>
      <c r="N86" s="47"/>
      <c r="O86" s="47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47"/>
      <c r="H87" s="47"/>
      <c r="I87" s="260"/>
      <c r="J87" s="260"/>
      <c r="K87" s="260"/>
      <c r="L87" s="260"/>
      <c r="M87" s="260"/>
      <c r="N87" s="47"/>
      <c r="O87" s="47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47"/>
      <c r="H88" s="47"/>
      <c r="I88" s="260"/>
      <c r="J88" s="260"/>
      <c r="K88" s="260"/>
      <c r="L88" s="260"/>
      <c r="M88" s="260"/>
      <c r="N88" s="47"/>
      <c r="O88" s="47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47"/>
      <c r="H89" s="47"/>
      <c r="I89" s="260"/>
      <c r="J89" s="260"/>
      <c r="K89" s="260"/>
      <c r="L89" s="260"/>
      <c r="M89" s="260"/>
      <c r="N89" s="47"/>
      <c r="O89" s="47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47"/>
      <c r="H90" s="47"/>
      <c r="I90" s="260"/>
      <c r="J90" s="260"/>
      <c r="K90" s="260"/>
      <c r="L90" s="260"/>
      <c r="M90" s="260"/>
      <c r="N90" s="47"/>
      <c r="O90" s="47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5066.69</v>
      </c>
      <c r="E91" s="260">
        <v>5066.69</v>
      </c>
      <c r="F91" s="260"/>
      <c r="G91" s="47"/>
      <c r="H91" s="47"/>
      <c r="I91" s="260"/>
      <c r="J91" s="260"/>
      <c r="K91" s="260"/>
      <c r="L91" s="260"/>
      <c r="M91" s="260"/>
      <c r="N91" s="47"/>
      <c r="O91" s="47"/>
      <c r="P91" s="47">
        <f t="shared" si="1"/>
        <v>10133.38</v>
      </c>
    </row>
    <row r="92" s="5" customFormat="1" spans="1:16">
      <c r="A92" s="231"/>
      <c r="B92" s="26" t="s">
        <v>83</v>
      </c>
      <c r="C92" s="207" t="s">
        <v>83</v>
      </c>
      <c r="D92" s="21"/>
      <c r="E92" s="260"/>
      <c r="F92" s="47"/>
      <c r="G92" s="47"/>
      <c r="H92" s="260"/>
      <c r="I92" s="260"/>
      <c r="J92" s="260"/>
      <c r="K92" s="260"/>
      <c r="L92" s="260"/>
      <c r="M92" s="260"/>
      <c r="N92" s="47"/>
      <c r="O92" s="47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11557.57</v>
      </c>
      <c r="E93" s="58">
        <f t="shared" ref="E93:P93" si="2">SUM(E6:E92)</f>
        <v>18554.21</v>
      </c>
      <c r="F93" s="58">
        <f t="shared" si="2"/>
        <v>17341.33</v>
      </c>
      <c r="G93" s="58">
        <f t="shared" si="2"/>
        <v>17097.77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64550.88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 t="s">
        <v>214</v>
      </c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f>D93</f>
        <v>11557.57</v>
      </c>
      <c r="E98" s="47">
        <f t="shared" ref="E98:O98" si="3">E93</f>
        <v>18554.21</v>
      </c>
      <c r="F98" s="47">
        <f t="shared" si="3"/>
        <v>17341.33</v>
      </c>
      <c r="G98" s="47">
        <f t="shared" si="3"/>
        <v>17097.77</v>
      </c>
      <c r="H98" s="47">
        <f t="shared" si="3"/>
        <v>0</v>
      </c>
      <c r="I98" s="47">
        <f t="shared" si="3"/>
        <v>0</v>
      </c>
      <c r="J98" s="47">
        <f t="shared" si="3"/>
        <v>0</v>
      </c>
      <c r="K98" s="47">
        <f t="shared" si="3"/>
        <v>0</v>
      </c>
      <c r="L98" s="47">
        <f t="shared" si="3"/>
        <v>0</v>
      </c>
      <c r="M98" s="47">
        <f t="shared" si="3"/>
        <v>0</v>
      </c>
      <c r="N98" s="47">
        <f t="shared" si="3"/>
        <v>0</v>
      </c>
      <c r="O98" s="47">
        <f t="shared" si="3"/>
        <v>0</v>
      </c>
      <c r="P98" s="47">
        <f t="shared" si="1"/>
        <v>64550.88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4">
      <c r="D101" s="259"/>
    </row>
    <row r="102" spans="6:6">
      <c r="F102" s="6">
        <v>17341.33</v>
      </c>
    </row>
    <row r="103" spans="16:16">
      <c r="P103" s="68"/>
    </row>
    <row r="105" s="6" customFormat="1" ht="12" spans="4:4">
      <c r="D105" s="241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92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221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47">
        <f>SUM(D6:O6)</f>
        <v>0</v>
      </c>
      <c r="Q6" s="48">
        <f>P6+P7+P8+P19+P22+P23+P24+P25+P26</f>
        <v>0</v>
      </c>
      <c r="R6" s="48">
        <f>Q6+'X-高新'!Q6+'Z-高新'!Q6+'Y-高新'!Q6</f>
        <v>0</v>
      </c>
      <c r="S6" s="48">
        <f>R6/10000</f>
        <v>0</v>
      </c>
    </row>
    <row r="7" s="5" customFormat="1" ht="17.25" customHeigh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60">
        <v>12825.5</v>
      </c>
      <c r="F34" s="260">
        <v>300</v>
      </c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13125.5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60">
        <v>1871</v>
      </c>
      <c r="F37" s="260">
        <v>16180</v>
      </c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18051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15.83</v>
      </c>
      <c r="E46" s="260">
        <v>15.83</v>
      </c>
      <c r="F46" s="260">
        <v>15.83</v>
      </c>
      <c r="G46" s="260">
        <v>15.83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63.32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28715.76</v>
      </c>
      <c r="E47" s="260">
        <v>28715.76</v>
      </c>
      <c r="F47" s="260">
        <v>28715.76</v>
      </c>
      <c r="G47" s="260">
        <v>28715.76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114863.04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60"/>
      <c r="G48" s="260"/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20</v>
      </c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20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28751.59</v>
      </c>
      <c r="E93" s="58">
        <f t="shared" ref="E93:P93" si="2">SUM(E6:E92)</f>
        <v>43428.09</v>
      </c>
      <c r="F93" s="58">
        <f t="shared" si="2"/>
        <v>45211.59</v>
      </c>
      <c r="G93" s="58">
        <f t="shared" si="2"/>
        <v>28731.59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146122.86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/>
      <c r="E96" s="46"/>
      <c r="F96" s="260"/>
      <c r="G96" s="267"/>
      <c r="H96" s="267"/>
      <c r="I96" s="267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>
        <f>D93</f>
        <v>28751.59</v>
      </c>
      <c r="E98" s="46">
        <f t="shared" ref="E98:O98" si="3">E93</f>
        <v>43428.09</v>
      </c>
      <c r="F98" s="46">
        <f t="shared" si="3"/>
        <v>45211.59</v>
      </c>
      <c r="G98" s="46">
        <f t="shared" si="3"/>
        <v>28731.59</v>
      </c>
      <c r="H98" s="46">
        <f t="shared" si="3"/>
        <v>0</v>
      </c>
      <c r="I98" s="46">
        <f t="shared" si="3"/>
        <v>0</v>
      </c>
      <c r="J98" s="46">
        <f t="shared" si="3"/>
        <v>0</v>
      </c>
      <c r="K98" s="46">
        <f t="shared" si="3"/>
        <v>0</v>
      </c>
      <c r="L98" s="46">
        <f t="shared" si="3"/>
        <v>0</v>
      </c>
      <c r="M98" s="46">
        <f t="shared" si="3"/>
        <v>0</v>
      </c>
      <c r="N98" s="46">
        <f t="shared" si="3"/>
        <v>0</v>
      </c>
      <c r="O98" s="46">
        <f t="shared" si="3"/>
        <v>0</v>
      </c>
      <c r="P98" s="47">
        <f t="shared" si="1"/>
        <v>146122.86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4">
      <c r="D101" s="259"/>
    </row>
    <row r="103" spans="16:16">
      <c r="P103" s="242">
        <v>32288242.86</v>
      </c>
    </row>
    <row r="104" spans="16:16">
      <c r="P104" s="80">
        <f>P103-P93</f>
        <v>32142120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1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222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6750</v>
      </c>
      <c r="E6" s="260">
        <v>13544</v>
      </c>
      <c r="F6" s="260">
        <v>6830</v>
      </c>
      <c r="G6" s="260">
        <v>6890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34014</v>
      </c>
      <c r="Q6" s="48">
        <f>P6+P7+P8+P19+P22+P23+P24+P25+P26</f>
        <v>38536.06</v>
      </c>
      <c r="R6" s="48">
        <f>Q6</f>
        <v>38536.06</v>
      </c>
      <c r="S6" s="5">
        <f>R6/10000</f>
        <v>3.853606</v>
      </c>
    </row>
    <row r="7" s="5" customFormat="1" spans="1:16">
      <c r="A7" s="199"/>
      <c r="B7" s="23"/>
      <c r="C7" s="20" t="s">
        <v>71</v>
      </c>
      <c r="D7" s="21">
        <v>529.35</v>
      </c>
      <c r="E7" s="260">
        <v>555</v>
      </c>
      <c r="F7" s="260">
        <v>555</v>
      </c>
      <c r="G7" s="260">
        <v>555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2194.35</v>
      </c>
    </row>
    <row r="8" s="5" customFormat="1" spans="1:16">
      <c r="A8" s="199"/>
      <c r="B8" s="19" t="s">
        <v>72</v>
      </c>
      <c r="C8" s="20" t="s">
        <v>72</v>
      </c>
      <c r="D8" s="21"/>
      <c r="E8" s="260">
        <v>0</v>
      </c>
      <c r="F8" s="260">
        <v>0</v>
      </c>
      <c r="G8" s="260">
        <v>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>
        <v>0</v>
      </c>
      <c r="F9" s="260">
        <v>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>
        <v>0</v>
      </c>
      <c r="F10" s="260">
        <v>0</v>
      </c>
      <c r="G10" s="260">
        <v>-800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-800</v>
      </c>
    </row>
    <row r="11" s="5" customFormat="1" spans="1:16">
      <c r="A11" s="199"/>
      <c r="B11" s="24"/>
      <c r="C11" s="25" t="s">
        <v>76</v>
      </c>
      <c r="D11" s="21"/>
      <c r="E11" s="260">
        <v>0</v>
      </c>
      <c r="F11" s="260">
        <v>0</v>
      </c>
      <c r="G11" s="260">
        <v>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>
        <v>0</v>
      </c>
      <c r="F12" s="260">
        <v>0</v>
      </c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>
        <v>0</v>
      </c>
      <c r="F13" s="260">
        <v>0</v>
      </c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>
        <v>100</v>
      </c>
      <c r="F14" s="260">
        <v>0</v>
      </c>
      <c r="G14" s="260">
        <v>150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250</v>
      </c>
    </row>
    <row r="15" s="5" customFormat="1" spans="1:16">
      <c r="A15" s="199"/>
      <c r="B15" s="24"/>
      <c r="C15" s="25" t="s">
        <v>80</v>
      </c>
      <c r="D15" s="21"/>
      <c r="E15" s="260">
        <v>0</v>
      </c>
      <c r="F15" s="260">
        <v>0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>
        <v>0</v>
      </c>
      <c r="F16" s="260">
        <v>0</v>
      </c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>
        <v>0</v>
      </c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>
        <v>0</v>
      </c>
      <c r="F18" s="260">
        <v>0</v>
      </c>
      <c r="G18" s="260">
        <v>0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>
        <v>384</v>
      </c>
      <c r="E19" s="260">
        <v>0</v>
      </c>
      <c r="F19" s="260">
        <v>768</v>
      </c>
      <c r="G19" s="260">
        <v>0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1152</v>
      </c>
    </row>
    <row r="20" s="5" customFormat="1" spans="1:16">
      <c r="A20" s="199"/>
      <c r="B20" s="19" t="s">
        <v>85</v>
      </c>
      <c r="C20" s="20" t="s">
        <v>85</v>
      </c>
      <c r="D20" s="21"/>
      <c r="E20" s="260">
        <v>0</v>
      </c>
      <c r="F20" s="260">
        <v>0</v>
      </c>
      <c r="G20" s="260">
        <v>0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>
        <v>0</v>
      </c>
      <c r="F21" s="260">
        <v>0</v>
      </c>
      <c r="G21" s="260">
        <v>0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>
        <v>454.72</v>
      </c>
      <c r="E22" s="260">
        <v>0</v>
      </c>
      <c r="F22" s="260">
        <v>0</v>
      </c>
      <c r="G22" s="260">
        <v>0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454.72</v>
      </c>
    </row>
    <row r="23" s="5" customFormat="1" spans="1:16">
      <c r="A23" s="199"/>
      <c r="B23" s="24"/>
      <c r="C23" s="25" t="s">
        <v>89</v>
      </c>
      <c r="D23" s="21">
        <v>14.21</v>
      </c>
      <c r="E23" s="260">
        <v>0</v>
      </c>
      <c r="F23" s="260">
        <v>14.21</v>
      </c>
      <c r="G23" s="260">
        <v>-14.21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14.21</v>
      </c>
    </row>
    <row r="24" s="5" customFormat="1" spans="1:16">
      <c r="A24" s="199"/>
      <c r="B24" s="24"/>
      <c r="C24" s="25" t="s">
        <v>90</v>
      </c>
      <c r="D24" s="21">
        <v>16.79</v>
      </c>
      <c r="E24" s="260">
        <v>0</v>
      </c>
      <c r="F24" s="260">
        <v>8</v>
      </c>
      <c r="G24" s="260">
        <v>0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24.79</v>
      </c>
    </row>
    <row r="25" s="5" customFormat="1" spans="1:16">
      <c r="A25" s="199"/>
      <c r="B25" s="24"/>
      <c r="C25" s="25" t="s">
        <v>91</v>
      </c>
      <c r="D25" s="21">
        <v>240.29</v>
      </c>
      <c r="E25" s="260">
        <v>0</v>
      </c>
      <c r="F25" s="260">
        <v>240.29</v>
      </c>
      <c r="G25" s="260">
        <v>123.64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604.22</v>
      </c>
    </row>
    <row r="26" s="5" customFormat="1" spans="1:16">
      <c r="A26" s="199"/>
      <c r="B26" s="23"/>
      <c r="C26" s="25" t="s">
        <v>92</v>
      </c>
      <c r="D26" s="21">
        <v>31.11</v>
      </c>
      <c r="E26" s="260">
        <v>0</v>
      </c>
      <c r="F26" s="260">
        <v>31.11</v>
      </c>
      <c r="G26" s="260">
        <v>15.55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77.77</v>
      </c>
    </row>
    <row r="27" s="5" customFormat="1" spans="1:16">
      <c r="A27" s="200"/>
      <c r="B27" s="19" t="s">
        <v>93</v>
      </c>
      <c r="C27" s="20" t="s">
        <v>93</v>
      </c>
      <c r="D27" s="21"/>
      <c r="E27" s="260">
        <v>0</v>
      </c>
      <c r="F27" s="260">
        <v>0</v>
      </c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>
        <v>0</v>
      </c>
      <c r="F28" s="260">
        <v>0</v>
      </c>
      <c r="G28" s="260">
        <v>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>
        <v>0</v>
      </c>
      <c r="F29" s="260">
        <v>0</v>
      </c>
      <c r="G29" s="260">
        <v>-1000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-1000</v>
      </c>
    </row>
    <row r="30" s="5" customFormat="1" spans="1:16">
      <c r="A30" s="202"/>
      <c r="B30" s="26" t="s">
        <v>98</v>
      </c>
      <c r="C30" s="25" t="s">
        <v>98</v>
      </c>
      <c r="D30" s="21"/>
      <c r="E30" s="260">
        <v>0</v>
      </c>
      <c r="F30" s="260">
        <v>0</v>
      </c>
      <c r="G30" s="260">
        <v>-500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-500</v>
      </c>
    </row>
    <row r="31" s="5" customFormat="1" spans="1:16">
      <c r="A31" s="202"/>
      <c r="B31" s="19" t="s">
        <v>99</v>
      </c>
      <c r="C31" s="25" t="s">
        <v>100</v>
      </c>
      <c r="D31" s="21"/>
      <c r="E31" s="260">
        <v>0</v>
      </c>
      <c r="F31" s="260">
        <v>0</v>
      </c>
      <c r="G31" s="260">
        <v>0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>
        <v>0</v>
      </c>
      <c r="F32" s="260">
        <v>0</v>
      </c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>
        <v>0</v>
      </c>
      <c r="F33" s="260">
        <v>0</v>
      </c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>
        <v>0</v>
      </c>
      <c r="F34" s="260">
        <v>0</v>
      </c>
      <c r="G34" s="260">
        <v>0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21"/>
      <c r="E35" s="260">
        <v>0</v>
      </c>
      <c r="F35" s="260">
        <v>0</v>
      </c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>
        <v>1665</v>
      </c>
      <c r="E36" s="260">
        <v>0</v>
      </c>
      <c r="F36" s="260">
        <v>0</v>
      </c>
      <c r="G36" s="260">
        <v>-500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1165</v>
      </c>
    </row>
    <row r="37" s="5" customFormat="1" spans="1:16">
      <c r="A37" s="202"/>
      <c r="B37" s="26" t="s">
        <v>107</v>
      </c>
      <c r="C37" s="25" t="s">
        <v>107</v>
      </c>
      <c r="D37" s="21">
        <v>10000</v>
      </c>
      <c r="E37" s="260">
        <v>3438</v>
      </c>
      <c r="F37" s="260">
        <v>0</v>
      </c>
      <c r="G37" s="260">
        <v>-2000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11438</v>
      </c>
    </row>
    <row r="38" s="5" customFormat="1" spans="1:16">
      <c r="A38" s="202"/>
      <c r="B38" s="19" t="s">
        <v>108</v>
      </c>
      <c r="C38" s="25" t="s">
        <v>109</v>
      </c>
      <c r="D38" s="21"/>
      <c r="E38" s="260">
        <v>0</v>
      </c>
      <c r="F38" s="260">
        <v>0</v>
      </c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>
        <v>0</v>
      </c>
      <c r="F39" s="260">
        <v>0</v>
      </c>
      <c r="G39" s="260">
        <v>-30000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-30000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>
        <v>0</v>
      </c>
      <c r="F40" s="260">
        <v>0</v>
      </c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>
        <v>0</v>
      </c>
      <c r="F41" s="260">
        <v>0</v>
      </c>
      <c r="G41" s="260">
        <v>0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>
        <v>0</v>
      </c>
      <c r="F42" s="260">
        <v>0</v>
      </c>
      <c r="G42" s="260">
        <v>0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>
        <v>0</v>
      </c>
      <c r="F43" s="260">
        <v>0</v>
      </c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>
        <v>0</v>
      </c>
      <c r="F44" s="260">
        <v>0</v>
      </c>
      <c r="G44" s="260">
        <v>0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>
        <v>0</v>
      </c>
      <c r="F45" s="260">
        <v>0</v>
      </c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2465.1</v>
      </c>
      <c r="E46" s="260">
        <v>2465.01</v>
      </c>
      <c r="F46" s="260">
        <v>2465.08</v>
      </c>
      <c r="G46" s="260">
        <v>2465.01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9860.2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>
        <v>0</v>
      </c>
      <c r="F47" s="260">
        <v>0</v>
      </c>
      <c r="G47" s="260">
        <v>0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21"/>
      <c r="E48" s="260">
        <v>0</v>
      </c>
      <c r="F48" s="307">
        <v>0</v>
      </c>
      <c r="G48" s="307">
        <v>0</v>
      </c>
      <c r="H48" s="307"/>
      <c r="I48" s="307"/>
      <c r="J48" s="260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>
        <v>0</v>
      </c>
      <c r="F49" s="260">
        <v>0</v>
      </c>
      <c r="G49" s="260">
        <v>0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>
        <v>0</v>
      </c>
      <c r="F50" s="260">
        <v>0</v>
      </c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>
        <v>0</v>
      </c>
      <c r="F51" s="260">
        <v>0</v>
      </c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>
        <v>0</v>
      </c>
      <c r="F52" s="260">
        <v>0</v>
      </c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>
        <v>0</v>
      </c>
      <c r="F53" s="260">
        <v>0</v>
      </c>
      <c r="G53" s="260">
        <v>0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>
        <v>0</v>
      </c>
      <c r="F54" s="260">
        <v>0</v>
      </c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>
        <v>0</v>
      </c>
      <c r="F55" s="260">
        <v>0</v>
      </c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>
        <v>0</v>
      </c>
      <c r="F56" s="260">
        <v>0</v>
      </c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>
        <v>0</v>
      </c>
      <c r="F57" s="260">
        <v>0</v>
      </c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>
        <v>0</v>
      </c>
      <c r="F58" s="260">
        <v>0</v>
      </c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>
        <v>0</v>
      </c>
      <c r="F59" s="260">
        <v>0</v>
      </c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>
        <v>0</v>
      </c>
      <c r="F60" s="260">
        <v>0</v>
      </c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>
        <v>0</v>
      </c>
      <c r="F61" s="260">
        <v>0</v>
      </c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>
        <v>0</v>
      </c>
      <c r="F62" s="260">
        <v>0</v>
      </c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>
        <v>0</v>
      </c>
      <c r="F63" s="260">
        <v>0</v>
      </c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>
        <v>0</v>
      </c>
      <c r="F64" s="260">
        <v>0</v>
      </c>
      <c r="G64" s="260">
        <v>0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>
        <v>2274.66</v>
      </c>
      <c r="E65" s="260">
        <v>0</v>
      </c>
      <c r="F65" s="260">
        <v>3786.86</v>
      </c>
      <c r="G65" s="260">
        <v>1216.68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7278.2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>
        <v>0</v>
      </c>
      <c r="F66" s="260">
        <v>0</v>
      </c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>
        <v>0</v>
      </c>
      <c r="F67" s="260">
        <v>0</v>
      </c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>
        <v>0</v>
      </c>
      <c r="F68" s="260">
        <v>0</v>
      </c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>
        <v>0</v>
      </c>
      <c r="F69" s="260">
        <v>0</v>
      </c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>
        <v>66</v>
      </c>
      <c r="E70" s="260">
        <v>0</v>
      </c>
      <c r="F70" s="260">
        <v>76</v>
      </c>
      <c r="G70" s="260">
        <v>-100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42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>
        <v>0</v>
      </c>
      <c r="F71" s="260">
        <v>0</v>
      </c>
      <c r="G71" s="260">
        <v>0</v>
      </c>
      <c r="H71" s="260"/>
      <c r="I71" s="260"/>
      <c r="J71" s="260"/>
      <c r="K71" s="260"/>
      <c r="L71" s="260"/>
      <c r="M71" s="260"/>
      <c r="N71" s="260"/>
      <c r="O71" s="47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>
        <v>0</v>
      </c>
      <c r="F72" s="260">
        <v>0</v>
      </c>
      <c r="G72" s="260">
        <v>0</v>
      </c>
      <c r="H72" s="260"/>
      <c r="I72" s="260"/>
      <c r="J72" s="260"/>
      <c r="K72" s="260"/>
      <c r="L72" s="260"/>
      <c r="M72" s="260"/>
      <c r="N72" s="260"/>
      <c r="O72" s="47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>
        <v>0</v>
      </c>
      <c r="F73" s="260">
        <v>0</v>
      </c>
      <c r="G73" s="260">
        <v>0</v>
      </c>
      <c r="H73" s="260"/>
      <c r="I73" s="260"/>
      <c r="J73" s="260"/>
      <c r="K73" s="260"/>
      <c r="L73" s="260"/>
      <c r="M73" s="260"/>
      <c r="N73" s="260"/>
      <c r="O73" s="47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>
        <v>0</v>
      </c>
      <c r="F74" s="260">
        <v>0</v>
      </c>
      <c r="G74" s="260">
        <v>0</v>
      </c>
      <c r="H74" s="260"/>
      <c r="I74" s="260"/>
      <c r="J74" s="260"/>
      <c r="K74" s="260"/>
      <c r="L74" s="260"/>
      <c r="M74" s="260"/>
      <c r="N74" s="260"/>
      <c r="O74" s="47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>
        <v>0</v>
      </c>
      <c r="F75" s="260">
        <v>0</v>
      </c>
      <c r="G75" s="260">
        <v>0</v>
      </c>
      <c r="H75" s="260"/>
      <c r="I75" s="260"/>
      <c r="J75" s="260"/>
      <c r="K75" s="260"/>
      <c r="L75" s="260"/>
      <c r="M75" s="260"/>
      <c r="N75" s="260"/>
      <c r="O75" s="47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>
        <v>0</v>
      </c>
      <c r="F76" s="260">
        <v>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47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>
        <v>0</v>
      </c>
      <c r="F77" s="260">
        <v>0</v>
      </c>
      <c r="G77" s="260">
        <v>0</v>
      </c>
      <c r="H77" s="260"/>
      <c r="I77" s="260"/>
      <c r="J77" s="260"/>
      <c r="K77" s="260"/>
      <c r="L77" s="260"/>
      <c r="M77" s="260"/>
      <c r="N77" s="260"/>
      <c r="O77" s="47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>
        <v>0</v>
      </c>
      <c r="F78" s="260">
        <v>0</v>
      </c>
      <c r="G78" s="260">
        <v>0</v>
      </c>
      <c r="H78" s="260"/>
      <c r="I78" s="260"/>
      <c r="J78" s="260"/>
      <c r="K78" s="260"/>
      <c r="L78" s="260"/>
      <c r="M78" s="260"/>
      <c r="N78" s="260"/>
      <c r="O78" s="47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>
        <v>0</v>
      </c>
      <c r="F79" s="260">
        <v>0</v>
      </c>
      <c r="G79" s="260">
        <v>0</v>
      </c>
      <c r="H79" s="260"/>
      <c r="I79" s="260"/>
      <c r="J79" s="260"/>
      <c r="K79" s="260"/>
      <c r="L79" s="260"/>
      <c r="M79" s="260"/>
      <c r="N79" s="260"/>
      <c r="O79" s="47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>
        <v>0</v>
      </c>
      <c r="F80" s="260">
        <v>0</v>
      </c>
      <c r="G80" s="260">
        <v>0</v>
      </c>
      <c r="H80" s="260"/>
      <c r="I80" s="260"/>
      <c r="J80" s="260"/>
      <c r="K80" s="260"/>
      <c r="L80" s="260"/>
      <c r="M80" s="260"/>
      <c r="N80" s="260"/>
      <c r="O80" s="47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>
        <v>0</v>
      </c>
      <c r="F81" s="260">
        <v>0</v>
      </c>
      <c r="G81" s="260">
        <v>0</v>
      </c>
      <c r="H81" s="260"/>
      <c r="I81" s="260"/>
      <c r="J81" s="260"/>
      <c r="K81" s="260"/>
      <c r="L81" s="260"/>
      <c r="M81" s="260"/>
      <c r="N81" s="260"/>
      <c r="O81" s="47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>
        <v>0</v>
      </c>
      <c r="F82" s="260">
        <v>0</v>
      </c>
      <c r="G82" s="260">
        <v>-1500</v>
      </c>
      <c r="H82" s="260"/>
      <c r="I82" s="260"/>
      <c r="J82" s="260"/>
      <c r="K82" s="260"/>
      <c r="L82" s="260"/>
      <c r="M82" s="260"/>
      <c r="N82" s="260"/>
      <c r="O82" s="47"/>
      <c r="P82" s="47">
        <f t="shared" si="1"/>
        <v>-1500</v>
      </c>
    </row>
    <row r="83" s="5" customFormat="1" spans="1:16">
      <c r="A83" s="224"/>
      <c r="B83" s="24"/>
      <c r="C83" s="25" t="s">
        <v>165</v>
      </c>
      <c r="D83" s="21"/>
      <c r="E83" s="260">
        <v>0</v>
      </c>
      <c r="F83" s="260">
        <v>0</v>
      </c>
      <c r="G83" s="260">
        <v>0</v>
      </c>
      <c r="H83" s="260"/>
      <c r="I83" s="260"/>
      <c r="J83" s="260"/>
      <c r="K83" s="260"/>
      <c r="L83" s="260"/>
      <c r="M83" s="260"/>
      <c r="N83" s="260"/>
      <c r="O83" s="47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>
        <v>0</v>
      </c>
      <c r="F84" s="260">
        <v>0</v>
      </c>
      <c r="G84" s="260">
        <v>0</v>
      </c>
      <c r="H84" s="260"/>
      <c r="I84" s="260"/>
      <c r="J84" s="260"/>
      <c r="K84" s="260"/>
      <c r="L84" s="260"/>
      <c r="M84" s="260"/>
      <c r="N84" s="260"/>
      <c r="O84" s="47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>
        <v>0</v>
      </c>
      <c r="F85" s="260">
        <v>0</v>
      </c>
      <c r="G85" s="260">
        <v>0</v>
      </c>
      <c r="H85" s="260"/>
      <c r="I85" s="260"/>
      <c r="J85" s="260"/>
      <c r="K85" s="260"/>
      <c r="L85" s="260"/>
      <c r="M85" s="260"/>
      <c r="N85" s="260"/>
      <c r="O85" s="47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>
        <v>0</v>
      </c>
      <c r="F86" s="260">
        <v>0</v>
      </c>
      <c r="G86" s="260">
        <v>0</v>
      </c>
      <c r="H86" s="260"/>
      <c r="I86" s="260"/>
      <c r="J86" s="260"/>
      <c r="K86" s="260"/>
      <c r="L86" s="260"/>
      <c r="M86" s="260"/>
      <c r="N86" s="260"/>
      <c r="O86" s="47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>
        <v>0</v>
      </c>
      <c r="F87" s="260">
        <v>0</v>
      </c>
      <c r="G87" s="260">
        <v>0</v>
      </c>
      <c r="H87" s="260"/>
      <c r="I87" s="260"/>
      <c r="J87" s="260"/>
      <c r="K87" s="260"/>
      <c r="L87" s="260"/>
      <c r="M87" s="260"/>
      <c r="N87" s="260"/>
      <c r="O87" s="47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>
        <v>0</v>
      </c>
      <c r="F88" s="260">
        <v>0</v>
      </c>
      <c r="G88" s="260">
        <v>0</v>
      </c>
      <c r="H88" s="260"/>
      <c r="I88" s="260"/>
      <c r="J88" s="260"/>
      <c r="K88" s="260"/>
      <c r="L88" s="260"/>
      <c r="M88" s="260"/>
      <c r="N88" s="260"/>
      <c r="O88" s="47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>
        <v>0</v>
      </c>
      <c r="F89" s="260">
        <v>0</v>
      </c>
      <c r="G89" s="260">
        <v>0</v>
      </c>
      <c r="H89" s="260"/>
      <c r="I89" s="260"/>
      <c r="J89" s="260"/>
      <c r="K89" s="260"/>
      <c r="L89" s="260"/>
      <c r="M89" s="260"/>
      <c r="N89" s="260"/>
      <c r="O89" s="47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>
        <v>0</v>
      </c>
      <c r="F90" s="260">
        <v>0</v>
      </c>
      <c r="G90" s="260">
        <v>0</v>
      </c>
      <c r="H90" s="260"/>
      <c r="I90" s="260"/>
      <c r="J90" s="260"/>
      <c r="K90" s="260"/>
      <c r="L90" s="260"/>
      <c r="M90" s="260"/>
      <c r="N90" s="260"/>
      <c r="O90" s="47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1">
        <v>0</v>
      </c>
      <c r="F91" s="21">
        <v>0</v>
      </c>
      <c r="G91" s="21">
        <v>0</v>
      </c>
      <c r="H91" s="260"/>
      <c r="I91" s="260"/>
      <c r="J91" s="260"/>
      <c r="K91" s="260"/>
      <c r="L91" s="260"/>
      <c r="M91" s="260"/>
      <c r="N91" s="260"/>
      <c r="O91" s="47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>
        <v>1156.16</v>
      </c>
      <c r="E92" s="260">
        <v>1156.15</v>
      </c>
      <c r="F92" s="260">
        <v>1156.16</v>
      </c>
      <c r="G92" s="260">
        <v>-1343.85</v>
      </c>
      <c r="H92" s="260"/>
      <c r="I92" s="260"/>
      <c r="J92" s="260"/>
      <c r="K92" s="260"/>
      <c r="L92" s="260"/>
      <c r="M92" s="260"/>
      <c r="N92" s="260"/>
      <c r="O92" s="47"/>
      <c r="P92" s="47">
        <f t="shared" si="1"/>
        <v>2124.62</v>
      </c>
    </row>
    <row r="93" s="6" customFormat="1" ht="15.75" spans="1:16">
      <c r="A93" s="232" t="s">
        <v>12</v>
      </c>
      <c r="B93" s="234"/>
      <c r="C93" s="308"/>
      <c r="D93" s="58">
        <f>SUM(D6:D92)</f>
        <v>26047.39</v>
      </c>
      <c r="E93" s="58">
        <f t="shared" ref="E93:P93" si="2">SUM(E6:E92)</f>
        <v>21258.16</v>
      </c>
      <c r="F93" s="58">
        <f t="shared" si="2"/>
        <v>15930.71</v>
      </c>
      <c r="G93" s="58">
        <f>SUM(G6:G92)</f>
        <v>-26342.18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36894.08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f>D93</f>
        <v>26047.39</v>
      </c>
      <c r="E98" s="47">
        <f t="shared" ref="E98:O98" si="3">E93</f>
        <v>21258.16</v>
      </c>
      <c r="F98" s="47">
        <f t="shared" si="3"/>
        <v>15930.71</v>
      </c>
      <c r="G98" s="47">
        <f t="shared" si="3"/>
        <v>-26342.18</v>
      </c>
      <c r="H98" s="47">
        <f t="shared" si="3"/>
        <v>0</v>
      </c>
      <c r="I98" s="47">
        <f t="shared" si="3"/>
        <v>0</v>
      </c>
      <c r="J98" s="47">
        <f t="shared" si="3"/>
        <v>0</v>
      </c>
      <c r="K98" s="47">
        <f t="shared" si="3"/>
        <v>0</v>
      </c>
      <c r="L98" s="47">
        <f t="shared" si="3"/>
        <v>0</v>
      </c>
      <c r="M98" s="47">
        <f t="shared" si="3"/>
        <v>0</v>
      </c>
      <c r="N98" s="47">
        <f t="shared" si="3"/>
        <v>0</v>
      </c>
      <c r="O98" s="47">
        <f t="shared" si="3"/>
        <v>0</v>
      </c>
      <c r="P98" s="47">
        <f t="shared" si="1"/>
        <v>36894.08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6">
      <c r="D101" s="259"/>
      <c r="F101" s="6">
        <v>15930.71</v>
      </c>
    </row>
    <row r="103" spans="16:16"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6" width="16.62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223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v>183342.64</v>
      </c>
      <c r="E6" s="260">
        <v>125527.17</v>
      </c>
      <c r="F6" s="260">
        <v>177688.27</v>
      </c>
      <c r="G6" s="260">
        <v>190244.33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676802.41</v>
      </c>
      <c r="Q6" s="48">
        <f>P6+P7+P8+P19+P22+P23+P24+P25+P26</f>
        <v>688015.69</v>
      </c>
      <c r="R6" s="48">
        <f>Q6+'X-高新'!Q6+'Z-高新'!Q6+'Y-高新'!Q6</f>
        <v>688015.69</v>
      </c>
      <c r="S6" s="48">
        <f>R6/10000</f>
        <v>68.801569</v>
      </c>
    </row>
    <row r="7" s="5" customFormat="1" ht="17.25" customHeight="1" spans="1:16">
      <c r="A7" s="199"/>
      <c r="B7" s="23"/>
      <c r="C7" s="20" t="s">
        <v>71</v>
      </c>
      <c r="D7" s="21"/>
      <c r="E7" s="260">
        <v>0</v>
      </c>
      <c r="F7" s="260">
        <v>0</v>
      </c>
      <c r="G7" s="260">
        <v>0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16200</v>
      </c>
      <c r="E8" s="260">
        <v>-15900</v>
      </c>
      <c r="F8" s="260">
        <v>0</v>
      </c>
      <c r="G8" s="260">
        <v>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300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>
        <v>0</v>
      </c>
      <c r="F9" s="260">
        <v>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v>22737</v>
      </c>
      <c r="E10" s="260">
        <v>3172</v>
      </c>
      <c r="F10" s="260">
        <v>12772.7</v>
      </c>
      <c r="G10" s="260">
        <v>7452.47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46134.17</v>
      </c>
    </row>
    <row r="11" s="5" customFormat="1" ht="17.25" customHeight="1" spans="1:16">
      <c r="A11" s="199"/>
      <c r="B11" s="24"/>
      <c r="C11" s="25" t="s">
        <v>76</v>
      </c>
      <c r="D11" s="21"/>
      <c r="E11" s="260">
        <v>0</v>
      </c>
      <c r="F11" s="260">
        <v>0</v>
      </c>
      <c r="G11" s="260">
        <v>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60">
        <v>0</v>
      </c>
      <c r="F12" s="260">
        <v>0</v>
      </c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>
        <v>2538.6</v>
      </c>
      <c r="E13" s="260">
        <v>0</v>
      </c>
      <c r="F13" s="260">
        <v>447</v>
      </c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2985.6</v>
      </c>
    </row>
    <row r="14" s="5" customFormat="1" ht="17.25" customHeight="1" spans="1:16">
      <c r="A14" s="199"/>
      <c r="B14" s="24"/>
      <c r="C14" s="20" t="s">
        <v>79</v>
      </c>
      <c r="D14" s="21"/>
      <c r="E14" s="260">
        <v>0</v>
      </c>
      <c r="F14" s="260">
        <v>0</v>
      </c>
      <c r="G14" s="260">
        <v>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>
        <v>0</v>
      </c>
      <c r="F15" s="260">
        <v>0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>
        <v>528</v>
      </c>
      <c r="E16" s="260">
        <v>0</v>
      </c>
      <c r="F16" s="260">
        <v>464</v>
      </c>
      <c r="G16" s="260">
        <v>352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1344</v>
      </c>
    </row>
    <row r="17" s="5" customFormat="1" ht="17.25" customHeight="1" spans="1:16">
      <c r="A17" s="199"/>
      <c r="B17" s="24"/>
      <c r="C17" s="25" t="s">
        <v>82</v>
      </c>
      <c r="D17" s="21"/>
      <c r="E17" s="260">
        <v>0</v>
      </c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>
        <v>0</v>
      </c>
      <c r="F18" s="260">
        <v>1943.5</v>
      </c>
      <c r="G18" s="260">
        <v>0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1943.5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60">
        <v>0</v>
      </c>
      <c r="F19" s="260">
        <v>0</v>
      </c>
      <c r="G19" s="260">
        <v>0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>
        <v>0</v>
      </c>
      <c r="F20" s="260">
        <v>0</v>
      </c>
      <c r="G20" s="260">
        <v>0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>
        <v>0</v>
      </c>
      <c r="F21" s="260">
        <v>0</v>
      </c>
      <c r="G21" s="260">
        <v>775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775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5456.64</v>
      </c>
      <c r="E22" s="260">
        <v>5456.64</v>
      </c>
      <c r="F22" s="260">
        <v>0</v>
      </c>
      <c r="G22" s="260">
        <v>0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10913.28</v>
      </c>
    </row>
    <row r="23" s="5" customFormat="1" ht="17.25" customHeight="1" spans="1:16">
      <c r="A23" s="199"/>
      <c r="B23" s="24"/>
      <c r="C23" s="25" t="s">
        <v>89</v>
      </c>
      <c r="D23" s="21"/>
      <c r="E23" s="260">
        <v>0</v>
      </c>
      <c r="F23" s="260">
        <v>0</v>
      </c>
      <c r="G23" s="260">
        <v>0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60">
        <v>0</v>
      </c>
      <c r="F24" s="260">
        <v>0</v>
      </c>
      <c r="G24" s="260">
        <v>0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60">
        <v>0</v>
      </c>
      <c r="F25" s="260">
        <v>0</v>
      </c>
      <c r="G25" s="260">
        <v>0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60">
        <v>0</v>
      </c>
      <c r="F26" s="260">
        <v>0</v>
      </c>
      <c r="G26" s="260">
        <v>0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>
        <v>0</v>
      </c>
      <c r="F27" s="260">
        <v>0</v>
      </c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>
        <v>0</v>
      </c>
      <c r="F28" s="260">
        <v>0</v>
      </c>
      <c r="G28" s="260">
        <v>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>
        <v>4485.18</v>
      </c>
      <c r="E29" s="260">
        <v>0</v>
      </c>
      <c r="F29" s="260">
        <v>0</v>
      </c>
      <c r="G29" s="260">
        <v>0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4485.18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1778.64</v>
      </c>
      <c r="E30" s="260">
        <v>0</v>
      </c>
      <c r="F30" s="260">
        <v>388</v>
      </c>
      <c r="G30" s="260">
        <v>130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2296.64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v>1065.84</v>
      </c>
      <c r="E31" s="260">
        <v>0</v>
      </c>
      <c r="F31" s="260">
        <v>0</v>
      </c>
      <c r="G31" s="260">
        <v>3150.97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4216.81</v>
      </c>
    </row>
    <row r="32" s="5" customFormat="1" ht="17.25" customHeight="1" spans="1:16">
      <c r="A32" s="202"/>
      <c r="B32" s="24"/>
      <c r="C32" s="25" t="s">
        <v>101</v>
      </c>
      <c r="D32" s="21"/>
      <c r="E32" s="260">
        <v>0</v>
      </c>
      <c r="F32" s="260">
        <v>0</v>
      </c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>
        <v>0</v>
      </c>
      <c r="F33" s="260">
        <v>0</v>
      </c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10020.43</v>
      </c>
      <c r="E34" s="260">
        <v>-19.81</v>
      </c>
      <c r="F34" s="260">
        <v>5015.49</v>
      </c>
      <c r="G34" s="260">
        <v>4068.31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19084.42</v>
      </c>
    </row>
    <row r="35" s="5" customFormat="1" ht="17.25" customHeight="1" spans="1:16">
      <c r="A35" s="202"/>
      <c r="B35" s="23"/>
      <c r="C35" s="25" t="s">
        <v>105</v>
      </c>
      <c r="D35" s="21"/>
      <c r="E35" s="260">
        <v>0</v>
      </c>
      <c r="F35" s="260">
        <v>0</v>
      </c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493.38</v>
      </c>
      <c r="E36" s="260">
        <v>77.67</v>
      </c>
      <c r="F36" s="260">
        <v>6551.27</v>
      </c>
      <c r="G36" s="260">
        <v>0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7122.32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1687</v>
      </c>
      <c r="E37" s="260">
        <v>0</v>
      </c>
      <c r="F37" s="260">
        <v>0</v>
      </c>
      <c r="G37" s="260">
        <v>1806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3493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>
        <v>0</v>
      </c>
      <c r="F38" s="260">
        <v>0</v>
      </c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>
        <v>180000</v>
      </c>
      <c r="F39" s="260">
        <v>0</v>
      </c>
      <c r="G39" s="260">
        <v>0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180000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>
        <v>7400</v>
      </c>
      <c r="E40" s="260">
        <v>0</v>
      </c>
      <c r="F40" s="260">
        <v>0</v>
      </c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7400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530</v>
      </c>
      <c r="E41" s="260">
        <v>0</v>
      </c>
      <c r="F41" s="260">
        <v>0</v>
      </c>
      <c r="G41" s="260">
        <v>0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530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>
        <v>69.9</v>
      </c>
      <c r="F42" s="260">
        <v>0</v>
      </c>
      <c r="G42" s="260">
        <v>2903.79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2973.69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>
        <v>0</v>
      </c>
      <c r="F43" s="260">
        <v>0</v>
      </c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>
        <v>28433.97</v>
      </c>
      <c r="F44" s="260">
        <v>0</v>
      </c>
      <c r="G44" s="260">
        <v>0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28433.97</v>
      </c>
    </row>
    <row r="45" s="5" customFormat="1" ht="17.25" customHeight="1" spans="1:16">
      <c r="A45" s="205"/>
      <c r="B45" s="23"/>
      <c r="C45" s="206" t="s">
        <v>118</v>
      </c>
      <c r="D45" s="21"/>
      <c r="E45" s="260">
        <v>0</v>
      </c>
      <c r="F45" s="260">
        <v>0</v>
      </c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12549.91</v>
      </c>
      <c r="E46" s="260">
        <v>35852.3</v>
      </c>
      <c r="F46" s="260">
        <v>-1503.01</v>
      </c>
      <c r="G46" s="260">
        <v>17970.91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64870.11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60">
        <v>0</v>
      </c>
      <c r="F47" s="260">
        <v>0</v>
      </c>
      <c r="G47" s="260">
        <v>0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>
        <v>28593.37</v>
      </c>
      <c r="E48" s="260">
        <v>60993.37</v>
      </c>
      <c r="F48" s="260">
        <v>66537.37</v>
      </c>
      <c r="G48" s="260">
        <v>62033.37</v>
      </c>
      <c r="H48" s="307"/>
      <c r="I48" s="307"/>
      <c r="J48" s="307"/>
      <c r="K48" s="307"/>
      <c r="L48" s="307"/>
      <c r="M48" s="260"/>
      <c r="N48" s="307"/>
      <c r="O48" s="307"/>
      <c r="P48" s="47">
        <f t="shared" si="0"/>
        <v>218157.48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>
        <v>0</v>
      </c>
      <c r="F49" s="260">
        <v>0</v>
      </c>
      <c r="G49" s="260">
        <v>0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>
        <v>0</v>
      </c>
      <c r="F50" s="260">
        <v>0</v>
      </c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>
        <v>0</v>
      </c>
      <c r="F51" s="260">
        <v>0</v>
      </c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>
        <v>65.5</v>
      </c>
      <c r="E52" s="260">
        <v>0</v>
      </c>
      <c r="F52" s="260">
        <v>0</v>
      </c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65.5</v>
      </c>
    </row>
    <row r="53" s="5" customFormat="1" ht="17.25" customHeight="1" spans="1:16">
      <c r="A53" s="211"/>
      <c r="B53" s="24"/>
      <c r="C53" s="207" t="s">
        <v>128</v>
      </c>
      <c r="D53" s="21"/>
      <c r="E53" s="260">
        <v>0</v>
      </c>
      <c r="F53" s="260">
        <v>0</v>
      </c>
      <c r="G53" s="260">
        <v>0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60">
        <v>0</v>
      </c>
      <c r="F54" s="260">
        <v>0</v>
      </c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>
        <v>0</v>
      </c>
      <c r="F55" s="260">
        <v>0</v>
      </c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>
        <v>1226.42</v>
      </c>
      <c r="E56" s="260">
        <v>0</v>
      </c>
      <c r="F56" s="260">
        <v>0</v>
      </c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1226.42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>
        <v>0</v>
      </c>
      <c r="F57" s="260">
        <v>0</v>
      </c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>
        <v>0</v>
      </c>
      <c r="F58" s="260">
        <v>0</v>
      </c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>
        <v>0</v>
      </c>
      <c r="F59" s="260">
        <v>0</v>
      </c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>
        <v>0</v>
      </c>
      <c r="F60" s="260">
        <v>0</v>
      </c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>
        <v>0</v>
      </c>
      <c r="F61" s="260">
        <v>0</v>
      </c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>
        <v>0</v>
      </c>
      <c r="F62" s="260">
        <v>0</v>
      </c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>
        <v>0</v>
      </c>
      <c r="F63" s="260">
        <v>0</v>
      </c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>
        <v>1355.44</v>
      </c>
      <c r="E64" s="260">
        <v>-353.88</v>
      </c>
      <c r="F64" s="260">
        <v>592.71</v>
      </c>
      <c r="G64" s="260">
        <v>592.71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2186.98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>
        <v>353.56</v>
      </c>
      <c r="E65" s="260">
        <v>-1842.18</v>
      </c>
      <c r="F65" s="260">
        <v>1478.03</v>
      </c>
      <c r="G65" s="260">
        <v>40.29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29.6999999999999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>
        <v>0</v>
      </c>
      <c r="F66" s="260">
        <v>0</v>
      </c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>
        <v>0</v>
      </c>
      <c r="F67" s="260">
        <v>0</v>
      </c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>
        <v>0</v>
      </c>
      <c r="F68" s="260">
        <v>0</v>
      </c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14996.33</v>
      </c>
      <c r="E69" s="260">
        <v>0</v>
      </c>
      <c r="F69" s="260">
        <v>1094.34</v>
      </c>
      <c r="G69" s="260">
        <v>1622.64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17713.31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812.16</v>
      </c>
      <c r="E70" s="260">
        <v>0</v>
      </c>
      <c r="F70" s="260">
        <v>468.87</v>
      </c>
      <c r="G70" s="260">
        <v>500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1781.03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>
        <v>0</v>
      </c>
      <c r="F71" s="260">
        <v>0</v>
      </c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>
        <v>0</v>
      </c>
      <c r="F72" s="260">
        <v>0</v>
      </c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>
        <v>0</v>
      </c>
      <c r="F73" s="260">
        <v>0</v>
      </c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>
        <v>0</v>
      </c>
      <c r="F74" s="260">
        <v>0</v>
      </c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>
        <v>0</v>
      </c>
      <c r="F75" s="260">
        <v>0</v>
      </c>
      <c r="G75" s="260">
        <v>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>
        <v>0</v>
      </c>
      <c r="F76" s="260">
        <v>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>
        <v>0</v>
      </c>
      <c r="F77" s="260">
        <v>0</v>
      </c>
      <c r="G77" s="260">
        <v>0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>
        <v>9708.74</v>
      </c>
      <c r="E78" s="260">
        <v>0</v>
      </c>
      <c r="F78" s="260">
        <v>0</v>
      </c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9708.74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>
        <v>0</v>
      </c>
      <c r="F79" s="260">
        <v>0</v>
      </c>
      <c r="G79" s="260">
        <v>0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v>4.59</v>
      </c>
      <c r="E80" s="260">
        <v>-14</v>
      </c>
      <c r="F80" s="260">
        <v>21334.78</v>
      </c>
      <c r="G80" s="260">
        <v>2182.92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23508.29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>
        <v>0</v>
      </c>
      <c r="F81" s="260">
        <v>0</v>
      </c>
      <c r="G81" s="260">
        <v>0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>
        <v>0</v>
      </c>
      <c r="F82" s="260">
        <v>0</v>
      </c>
      <c r="G82" s="260">
        <v>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>
        <v>2264.15</v>
      </c>
      <c r="E83" s="260">
        <v>0</v>
      </c>
      <c r="F83" s="260">
        <v>0</v>
      </c>
      <c r="G83" s="260">
        <v>2400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4664.15</v>
      </c>
    </row>
    <row r="84" s="5" customFormat="1" ht="17.25" customHeight="1" spans="1:16">
      <c r="A84" s="224"/>
      <c r="B84" s="23"/>
      <c r="C84" s="25" t="s">
        <v>166</v>
      </c>
      <c r="D84" s="21"/>
      <c r="E84" s="260">
        <v>0</v>
      </c>
      <c r="F84" s="260">
        <v>0</v>
      </c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>
        <v>0</v>
      </c>
      <c r="F85" s="260">
        <v>0</v>
      </c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>
        <v>0</v>
      </c>
      <c r="F86" s="260">
        <v>0</v>
      </c>
      <c r="G86" s="260">
        <v>0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>
        <v>0</v>
      </c>
      <c r="F87" s="260">
        <v>0</v>
      </c>
      <c r="G87" s="260">
        <v>0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>
        <v>0</v>
      </c>
      <c r="F88" s="260">
        <v>0</v>
      </c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>
        <v>0</v>
      </c>
      <c r="F89" s="260">
        <v>0</v>
      </c>
      <c r="G89" s="260">
        <v>0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>
        <v>0</v>
      </c>
      <c r="F90" s="260">
        <v>0</v>
      </c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>
        <v>105688.12</v>
      </c>
      <c r="E91" s="260">
        <v>90137.06</v>
      </c>
      <c r="F91" s="260">
        <v>70036.52</v>
      </c>
      <c r="G91" s="260">
        <v>100752.32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366614.02</v>
      </c>
    </row>
    <row r="92" s="5" customFormat="1" ht="17.25" customHeight="1" spans="1:16">
      <c r="A92" s="231"/>
      <c r="B92" s="26" t="s">
        <v>83</v>
      </c>
      <c r="C92" s="207" t="s">
        <v>83</v>
      </c>
      <c r="D92" s="21">
        <v>1928.39</v>
      </c>
      <c r="E92" s="260">
        <v>-180350</v>
      </c>
      <c r="F92" s="260">
        <v>1294.27</v>
      </c>
      <c r="G92" s="260">
        <v>200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-176927.34</v>
      </c>
    </row>
    <row r="93" s="6" customFormat="1" ht="28.5" customHeight="1" spans="1:16">
      <c r="A93" s="232" t="s">
        <v>12</v>
      </c>
      <c r="B93" s="234"/>
      <c r="C93" s="308"/>
      <c r="D93" s="58">
        <f t="shared" ref="D93:P93" si="2">SUM(D6:D92)</f>
        <v>437810.03</v>
      </c>
      <c r="E93" s="58">
        <f t="shared" si="2"/>
        <v>331240.21</v>
      </c>
      <c r="F93" s="58">
        <f t="shared" si="2"/>
        <v>366604.11</v>
      </c>
      <c r="G93" s="58">
        <f t="shared" si="2"/>
        <v>399178.03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1534832.38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437810.03</v>
      </c>
      <c r="E96" s="46">
        <f t="shared" ref="E96:O96" si="3">E93</f>
        <v>331240.21</v>
      </c>
      <c r="F96" s="46">
        <f t="shared" si="3"/>
        <v>366604.11</v>
      </c>
      <c r="G96" s="46">
        <f t="shared" si="3"/>
        <v>399178.03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1534832.38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7">
        <f t="shared" si="1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6">
      <c r="D101" s="259"/>
      <c r="F101" s="6">
        <v>366604.11</v>
      </c>
    </row>
    <row r="103" spans="16:16">
      <c r="P103" s="242">
        <v>32288242.86</v>
      </c>
    </row>
    <row r="104" spans="16:16">
      <c r="P104" s="80">
        <f>P103-P93</f>
        <v>30753410.48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8"/>
  <sheetViews>
    <sheetView workbookViewId="0">
      <pane xSplit="3" ySplit="5" topLeftCell="D81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customWidth="1"/>
    <col min="5" max="5" width="11" style="6" customWidth="1"/>
    <col min="6" max="6" width="13.5" style="6" customWidth="1"/>
    <col min="7" max="7" width="12.75" style="10" customWidth="1"/>
    <col min="8" max="8" width="16.125" style="10" customWidth="1"/>
    <col min="9" max="10" width="11.5" style="10" customWidth="1"/>
    <col min="11" max="11" width="14.75" style="10" customWidth="1"/>
    <col min="12" max="12" width="15.875" style="10" customWidth="1"/>
    <col min="13" max="13" width="12.75" style="10" customWidth="1"/>
    <col min="14" max="14" width="15.25" style="10" customWidth="1"/>
    <col min="15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224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215880.76</v>
      </c>
      <c r="E6" s="260">
        <v>221045.44</v>
      </c>
      <c r="F6" s="260">
        <v>346223.43</v>
      </c>
      <c r="G6" s="260">
        <v>277345.65</v>
      </c>
      <c r="H6" s="260"/>
      <c r="I6" s="260"/>
      <c r="J6" s="21"/>
      <c r="K6" s="260"/>
      <c r="L6" s="260"/>
      <c r="M6" s="260"/>
      <c r="N6" s="260"/>
      <c r="O6" s="260"/>
      <c r="P6" s="47">
        <f>SUM(D6:O6)</f>
        <v>1060495.28</v>
      </c>
      <c r="Q6" s="48">
        <f>P6+P7+P8+P19+P22+P23+P24+P25+P26</f>
        <v>1248729.4</v>
      </c>
      <c r="R6" s="48">
        <f>Q6</f>
        <v>1248729.4</v>
      </c>
      <c r="S6" s="5">
        <f>R6/10000</f>
        <v>124.87294</v>
      </c>
    </row>
    <row r="7" s="5" customFormat="1" spans="1:16">
      <c r="A7" s="199"/>
      <c r="B7" s="23"/>
      <c r="C7" s="20" t="s">
        <v>71</v>
      </c>
      <c r="D7" s="21">
        <v>40485.68</v>
      </c>
      <c r="E7" s="260">
        <v>17615.11</v>
      </c>
      <c r="F7" s="260">
        <v>22951.84</v>
      </c>
      <c r="G7" s="260">
        <v>21558.53</v>
      </c>
      <c r="H7" s="260"/>
      <c r="I7" s="260"/>
      <c r="J7" s="21"/>
      <c r="K7" s="260"/>
      <c r="L7" s="260"/>
      <c r="M7" s="260"/>
      <c r="N7" s="260"/>
      <c r="O7" s="260"/>
      <c r="P7" s="47">
        <f t="shared" ref="P7:P70" si="0">SUM(D7:O7)</f>
        <v>102611.16</v>
      </c>
    </row>
    <row r="8" s="5" customFormat="1" spans="1:16">
      <c r="A8" s="199"/>
      <c r="B8" s="19" t="s">
        <v>72</v>
      </c>
      <c r="C8" s="20" t="s">
        <v>72</v>
      </c>
      <c r="D8" s="21"/>
      <c r="E8" s="260" t="s">
        <v>225</v>
      </c>
      <c r="F8" s="260">
        <v>0</v>
      </c>
      <c r="G8" s="260">
        <v>0</v>
      </c>
      <c r="H8" s="260"/>
      <c r="I8" s="260"/>
      <c r="J8" s="21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 t="s">
        <v>225</v>
      </c>
      <c r="F9" s="260">
        <v>0</v>
      </c>
      <c r="G9" s="260">
        <v>0</v>
      </c>
      <c r="H9" s="260"/>
      <c r="I9" s="260"/>
      <c r="J9" s="21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>
        <v>-40</v>
      </c>
      <c r="F10" s="260">
        <v>53420.02</v>
      </c>
      <c r="G10" s="260">
        <v>940</v>
      </c>
      <c r="H10" s="260"/>
      <c r="I10" s="260"/>
      <c r="J10" s="21"/>
      <c r="K10" s="260"/>
      <c r="L10" s="260"/>
      <c r="M10" s="260"/>
      <c r="N10" s="260"/>
      <c r="O10" s="260"/>
      <c r="P10" s="47">
        <f t="shared" si="0"/>
        <v>54320.02</v>
      </c>
    </row>
    <row r="11" s="5" customFormat="1" spans="1:16">
      <c r="A11" s="199"/>
      <c r="B11" s="24"/>
      <c r="C11" s="25" t="s">
        <v>76</v>
      </c>
      <c r="D11" s="21"/>
      <c r="E11" s="260" t="s">
        <v>225</v>
      </c>
      <c r="F11" s="260">
        <v>0</v>
      </c>
      <c r="G11" s="260">
        <v>0</v>
      </c>
      <c r="H11" s="260"/>
      <c r="I11" s="260"/>
      <c r="J11" s="21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 t="s">
        <v>225</v>
      </c>
      <c r="F12" s="260">
        <v>0</v>
      </c>
      <c r="G12" s="260">
        <v>0</v>
      </c>
      <c r="H12" s="260"/>
      <c r="I12" s="260"/>
      <c r="J12" s="21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>
        <v>9237.11</v>
      </c>
      <c r="E13" s="260" t="s">
        <v>225</v>
      </c>
      <c r="F13" s="260">
        <v>0</v>
      </c>
      <c r="G13" s="260">
        <v>306.6</v>
      </c>
      <c r="H13" s="260"/>
      <c r="I13" s="260"/>
      <c r="J13" s="21"/>
      <c r="K13" s="260"/>
      <c r="L13" s="260"/>
      <c r="M13" s="260"/>
      <c r="N13" s="260"/>
      <c r="O13" s="260"/>
      <c r="P13" s="47">
        <f t="shared" si="0"/>
        <v>9543.71</v>
      </c>
    </row>
    <row r="14" s="5" customFormat="1" spans="1:16">
      <c r="A14" s="199"/>
      <c r="B14" s="24"/>
      <c r="C14" s="20" t="s">
        <v>79</v>
      </c>
      <c r="D14" s="21"/>
      <c r="E14" s="260" t="s">
        <v>225</v>
      </c>
      <c r="F14" s="260">
        <v>1400</v>
      </c>
      <c r="G14" s="260">
        <v>-1400</v>
      </c>
      <c r="H14" s="260"/>
      <c r="I14" s="260"/>
      <c r="J14" s="21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 t="s">
        <v>225</v>
      </c>
      <c r="F15" s="260">
        <v>0</v>
      </c>
      <c r="G15" s="260">
        <v>0</v>
      </c>
      <c r="H15" s="260"/>
      <c r="I15" s="260"/>
      <c r="J15" s="21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 t="s">
        <v>225</v>
      </c>
      <c r="F16" s="260">
        <v>0</v>
      </c>
      <c r="G16" s="260">
        <v>0</v>
      </c>
      <c r="H16" s="260"/>
      <c r="I16" s="260"/>
      <c r="J16" s="21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>
        <v>68955.19</v>
      </c>
      <c r="F17" s="260">
        <v>0</v>
      </c>
      <c r="G17" s="260">
        <v>-61130.28</v>
      </c>
      <c r="H17" s="260"/>
      <c r="I17" s="260"/>
      <c r="J17" s="21"/>
      <c r="K17" s="260"/>
      <c r="L17" s="260"/>
      <c r="M17" s="260"/>
      <c r="N17" s="260"/>
      <c r="O17" s="260"/>
      <c r="P17" s="47">
        <f t="shared" si="0"/>
        <v>7824.91</v>
      </c>
    </row>
    <row r="18" s="5" customFormat="1" spans="1:16">
      <c r="A18" s="199"/>
      <c r="B18" s="23"/>
      <c r="C18" s="25" t="s">
        <v>83</v>
      </c>
      <c r="D18" s="21">
        <v>796</v>
      </c>
      <c r="E18" s="260">
        <v>18223.1</v>
      </c>
      <c r="F18" s="260">
        <v>21218</v>
      </c>
      <c r="G18" s="260">
        <v>1897.5</v>
      </c>
      <c r="H18" s="260"/>
      <c r="I18" s="260"/>
      <c r="J18" s="21"/>
      <c r="K18" s="260"/>
      <c r="L18" s="260"/>
      <c r="M18" s="260"/>
      <c r="N18" s="260"/>
      <c r="O18" s="260"/>
      <c r="P18" s="47">
        <f t="shared" si="0"/>
        <v>42134.6</v>
      </c>
    </row>
    <row r="19" s="5" customFormat="1" spans="1:16">
      <c r="A19" s="199"/>
      <c r="B19" s="26" t="s">
        <v>84</v>
      </c>
      <c r="C19" s="25" t="s">
        <v>84</v>
      </c>
      <c r="D19" s="21">
        <v>4992</v>
      </c>
      <c r="E19" s="260">
        <v>6024</v>
      </c>
      <c r="F19" s="260">
        <v>6624</v>
      </c>
      <c r="G19" s="260">
        <v>4824</v>
      </c>
      <c r="H19" s="260"/>
      <c r="I19" s="260"/>
      <c r="J19" s="21"/>
      <c r="K19" s="260"/>
      <c r="L19" s="260"/>
      <c r="M19" s="260"/>
      <c r="N19" s="260"/>
      <c r="O19" s="260"/>
      <c r="P19" s="47">
        <f t="shared" si="0"/>
        <v>22464</v>
      </c>
    </row>
    <row r="20" s="5" customFormat="1" spans="1:16">
      <c r="A20" s="199"/>
      <c r="B20" s="19" t="s">
        <v>85</v>
      </c>
      <c r="C20" s="20" t="s">
        <v>85</v>
      </c>
      <c r="D20" s="21"/>
      <c r="E20" s="260" t="s">
        <v>225</v>
      </c>
      <c r="F20" s="260">
        <v>0</v>
      </c>
      <c r="G20" s="260">
        <v>0</v>
      </c>
      <c r="H20" s="260"/>
      <c r="I20" s="260"/>
      <c r="J20" s="21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 t="s">
        <v>225</v>
      </c>
      <c r="F21" s="260">
        <v>0</v>
      </c>
      <c r="G21" s="260">
        <v>0</v>
      </c>
      <c r="H21" s="260"/>
      <c r="I21" s="260"/>
      <c r="J21" s="21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>
        <v>17450.24</v>
      </c>
      <c r="E22" s="260">
        <v>31533.44</v>
      </c>
      <c r="F22" s="260">
        <v>-30511.96</v>
      </c>
      <c r="G22" s="260">
        <v>0</v>
      </c>
      <c r="H22" s="260"/>
      <c r="I22" s="260"/>
      <c r="J22" s="21"/>
      <c r="K22" s="260"/>
      <c r="L22" s="260"/>
      <c r="M22" s="260"/>
      <c r="N22" s="260"/>
      <c r="O22" s="260"/>
      <c r="P22" s="47">
        <f t="shared" si="0"/>
        <v>18471.72</v>
      </c>
    </row>
    <row r="23" s="5" customFormat="1" spans="1:16">
      <c r="A23" s="199"/>
      <c r="B23" s="24"/>
      <c r="C23" s="25" t="s">
        <v>89</v>
      </c>
      <c r="D23" s="21">
        <v>613.28</v>
      </c>
      <c r="E23" s="260">
        <v>1054.51</v>
      </c>
      <c r="F23" s="260">
        <v>-1039.15</v>
      </c>
      <c r="G23" s="260">
        <v>0</v>
      </c>
      <c r="H23" s="260"/>
      <c r="I23" s="260"/>
      <c r="J23" s="21"/>
      <c r="K23" s="260"/>
      <c r="L23" s="260"/>
      <c r="M23" s="260"/>
      <c r="N23" s="260"/>
      <c r="O23" s="260"/>
      <c r="P23" s="47">
        <f t="shared" si="0"/>
        <v>628.64</v>
      </c>
    </row>
    <row r="24" s="5" customFormat="1" spans="1:16">
      <c r="A24" s="199"/>
      <c r="B24" s="24"/>
      <c r="C24" s="25" t="s">
        <v>90</v>
      </c>
      <c r="D24" s="21">
        <v>988.2</v>
      </c>
      <c r="E24" s="260">
        <v>1666.06</v>
      </c>
      <c r="F24" s="260">
        <v>-1641.48</v>
      </c>
      <c r="G24" s="260">
        <v>0</v>
      </c>
      <c r="H24" s="260"/>
      <c r="I24" s="260"/>
      <c r="J24" s="21"/>
      <c r="K24" s="260"/>
      <c r="L24" s="260"/>
      <c r="M24" s="260"/>
      <c r="N24" s="260"/>
      <c r="O24" s="260"/>
      <c r="P24" s="47">
        <f t="shared" si="0"/>
        <v>1012.78</v>
      </c>
    </row>
    <row r="25" s="5" customFormat="1" spans="1:16">
      <c r="A25" s="199"/>
      <c r="B25" s="24"/>
      <c r="C25" s="25" t="s">
        <v>91</v>
      </c>
      <c r="D25" s="21">
        <v>5475.78</v>
      </c>
      <c r="E25" s="260">
        <v>10148.28</v>
      </c>
      <c r="F25" s="260">
        <v>5185.88</v>
      </c>
      <c r="G25" s="260">
        <v>18745.53</v>
      </c>
      <c r="H25" s="260"/>
      <c r="I25" s="260"/>
      <c r="J25" s="21"/>
      <c r="K25" s="260"/>
      <c r="L25" s="260"/>
      <c r="M25" s="260"/>
      <c r="N25" s="260"/>
      <c r="O25" s="260"/>
      <c r="P25" s="47">
        <f t="shared" si="0"/>
        <v>39555.47</v>
      </c>
    </row>
    <row r="26" s="5" customFormat="1" spans="1:16">
      <c r="A26" s="199"/>
      <c r="B26" s="23"/>
      <c r="C26" s="25" t="s">
        <v>92</v>
      </c>
      <c r="D26" s="21">
        <v>730.1</v>
      </c>
      <c r="E26" s="260">
        <v>1353.2</v>
      </c>
      <c r="F26" s="260">
        <v>653.06</v>
      </c>
      <c r="G26" s="260">
        <v>753.99</v>
      </c>
      <c r="H26" s="260"/>
      <c r="I26" s="260"/>
      <c r="J26" s="21"/>
      <c r="K26" s="260"/>
      <c r="L26" s="260"/>
      <c r="M26" s="260"/>
      <c r="N26" s="260"/>
      <c r="O26" s="260"/>
      <c r="P26" s="47">
        <f t="shared" si="0"/>
        <v>3490.35</v>
      </c>
    </row>
    <row r="27" s="5" customFormat="1" spans="1:16">
      <c r="A27" s="200"/>
      <c r="B27" s="19" t="s">
        <v>93</v>
      </c>
      <c r="C27" s="20" t="s">
        <v>93</v>
      </c>
      <c r="D27" s="21">
        <v>2097</v>
      </c>
      <c r="E27" s="260" t="s">
        <v>225</v>
      </c>
      <c r="F27" s="260">
        <v>24140</v>
      </c>
      <c r="G27" s="260">
        <v>0</v>
      </c>
      <c r="H27" s="260"/>
      <c r="I27" s="260"/>
      <c r="J27" s="21"/>
      <c r="K27" s="260"/>
      <c r="L27" s="260"/>
      <c r="M27" s="260"/>
      <c r="N27" s="260"/>
      <c r="O27" s="260"/>
      <c r="P27" s="47">
        <f t="shared" si="0"/>
        <v>26237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>
        <v>260</v>
      </c>
      <c r="E28" s="260" t="s">
        <v>225</v>
      </c>
      <c r="F28" s="260">
        <v>0</v>
      </c>
      <c r="G28" s="260">
        <v>0</v>
      </c>
      <c r="H28" s="260"/>
      <c r="I28" s="260"/>
      <c r="J28" s="21"/>
      <c r="K28" s="260"/>
      <c r="L28" s="260"/>
      <c r="M28" s="260"/>
      <c r="N28" s="260"/>
      <c r="O28" s="260"/>
      <c r="P28" s="47">
        <f t="shared" si="0"/>
        <v>260</v>
      </c>
    </row>
    <row r="29" s="5" customFormat="1" spans="1:16">
      <c r="A29" s="202"/>
      <c r="B29" s="23"/>
      <c r="C29" s="20" t="s">
        <v>97</v>
      </c>
      <c r="D29" s="21"/>
      <c r="E29" s="260">
        <v>456.2</v>
      </c>
      <c r="F29" s="260">
        <v>2959.91</v>
      </c>
      <c r="G29" s="260">
        <v>761.44</v>
      </c>
      <c r="H29" s="260"/>
      <c r="I29" s="260"/>
      <c r="J29" s="21"/>
      <c r="K29" s="260"/>
      <c r="L29" s="260"/>
      <c r="M29" s="260"/>
      <c r="N29" s="260"/>
      <c r="O29" s="260"/>
      <c r="P29" s="47">
        <f t="shared" si="0"/>
        <v>4177.55</v>
      </c>
    </row>
    <row r="30" s="5" customFormat="1" spans="1:16">
      <c r="A30" s="202"/>
      <c r="B30" s="26" t="s">
        <v>98</v>
      </c>
      <c r="C30" s="25" t="s">
        <v>98</v>
      </c>
      <c r="D30" s="21"/>
      <c r="E30" s="260" t="s">
        <v>225</v>
      </c>
      <c r="F30" s="260">
        <v>0</v>
      </c>
      <c r="G30" s="260">
        <v>0</v>
      </c>
      <c r="H30" s="260"/>
      <c r="I30" s="260"/>
      <c r="J30" s="21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 t="s">
        <v>225</v>
      </c>
      <c r="F31" s="260">
        <v>5660.38</v>
      </c>
      <c r="G31" s="260">
        <v>1886.8</v>
      </c>
      <c r="H31" s="260"/>
      <c r="I31" s="260"/>
      <c r="J31" s="21"/>
      <c r="K31" s="260"/>
      <c r="L31" s="260"/>
      <c r="M31" s="260"/>
      <c r="N31" s="260"/>
      <c r="O31" s="260"/>
      <c r="P31" s="47">
        <f t="shared" si="0"/>
        <v>7547.18</v>
      </c>
    </row>
    <row r="32" s="5" customFormat="1" spans="1:16">
      <c r="A32" s="202"/>
      <c r="B32" s="24"/>
      <c r="C32" s="25" t="s">
        <v>101</v>
      </c>
      <c r="D32" s="21"/>
      <c r="E32" s="260" t="s">
        <v>225</v>
      </c>
      <c r="F32" s="260">
        <v>0</v>
      </c>
      <c r="G32" s="260">
        <v>0</v>
      </c>
      <c r="H32" s="260"/>
      <c r="I32" s="260"/>
      <c r="J32" s="21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>
        <v>220</v>
      </c>
      <c r="E33" s="260" t="s">
        <v>225</v>
      </c>
      <c r="F33" s="260">
        <v>0</v>
      </c>
      <c r="G33" s="260">
        <v>0</v>
      </c>
      <c r="H33" s="260"/>
      <c r="I33" s="260"/>
      <c r="J33" s="21"/>
      <c r="K33" s="260"/>
      <c r="L33" s="260"/>
      <c r="M33" s="260"/>
      <c r="N33" s="260"/>
      <c r="O33" s="260"/>
      <c r="P33" s="47">
        <f t="shared" si="0"/>
        <v>220</v>
      </c>
    </row>
    <row r="34" s="5" customFormat="1" spans="1:16">
      <c r="A34" s="202"/>
      <c r="B34" s="19" t="s">
        <v>103</v>
      </c>
      <c r="C34" s="25" t="s">
        <v>104</v>
      </c>
      <c r="D34" s="21">
        <v>5525.99</v>
      </c>
      <c r="E34" s="260">
        <v>1670.23</v>
      </c>
      <c r="F34" s="260">
        <v>7503.57</v>
      </c>
      <c r="G34" s="260">
        <v>28170.36</v>
      </c>
      <c r="H34" s="260"/>
      <c r="I34" s="260"/>
      <c r="J34" s="21"/>
      <c r="K34" s="260"/>
      <c r="L34" s="260"/>
      <c r="M34" s="260"/>
      <c r="N34" s="260"/>
      <c r="O34" s="260"/>
      <c r="P34" s="47">
        <f t="shared" si="0"/>
        <v>42870.15</v>
      </c>
    </row>
    <row r="35" s="5" customFormat="1" spans="1:16">
      <c r="A35" s="202"/>
      <c r="B35" s="23"/>
      <c r="C35" s="25" t="s">
        <v>105</v>
      </c>
      <c r="D35" s="21"/>
      <c r="E35" s="260" t="s">
        <v>225</v>
      </c>
      <c r="F35" s="260">
        <v>0</v>
      </c>
      <c r="G35" s="260">
        <v>0</v>
      </c>
      <c r="H35" s="260"/>
      <c r="I35" s="260"/>
      <c r="J35" s="21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>
        <v>6001.95</v>
      </c>
      <c r="E36" s="260">
        <v>800</v>
      </c>
      <c r="F36" s="260">
        <v>2424.11</v>
      </c>
      <c r="G36" s="260">
        <v>23772.99</v>
      </c>
      <c r="H36" s="260"/>
      <c r="I36" s="260"/>
      <c r="J36" s="21"/>
      <c r="K36" s="260"/>
      <c r="L36" s="260"/>
      <c r="M36" s="260"/>
      <c r="N36" s="260"/>
      <c r="O36" s="260"/>
      <c r="P36" s="47">
        <f t="shared" si="0"/>
        <v>32999.05</v>
      </c>
    </row>
    <row r="37" s="5" customFormat="1" spans="1:16">
      <c r="A37" s="202"/>
      <c r="B37" s="26" t="s">
        <v>107</v>
      </c>
      <c r="C37" s="25" t="s">
        <v>107</v>
      </c>
      <c r="D37" s="21">
        <v>1759</v>
      </c>
      <c r="E37" s="260">
        <v>180</v>
      </c>
      <c r="F37" s="260">
        <v>9900</v>
      </c>
      <c r="G37" s="260">
        <v>15671.61</v>
      </c>
      <c r="H37" s="260"/>
      <c r="I37" s="260"/>
      <c r="J37" s="21"/>
      <c r="K37" s="260"/>
      <c r="L37" s="260"/>
      <c r="M37" s="260"/>
      <c r="N37" s="260"/>
      <c r="O37" s="260"/>
      <c r="P37" s="47">
        <f t="shared" si="0"/>
        <v>27510.61</v>
      </c>
    </row>
    <row r="38" s="5" customFormat="1" spans="1:16">
      <c r="A38" s="202"/>
      <c r="B38" s="19" t="s">
        <v>108</v>
      </c>
      <c r="C38" s="25" t="s">
        <v>109</v>
      </c>
      <c r="D38" s="21"/>
      <c r="E38" s="260" t="s">
        <v>225</v>
      </c>
      <c r="F38" s="260">
        <v>0</v>
      </c>
      <c r="G38" s="260">
        <v>0</v>
      </c>
      <c r="H38" s="260"/>
      <c r="I38" s="260"/>
      <c r="J38" s="21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 t="s">
        <v>225</v>
      </c>
      <c r="F39" s="260">
        <v>0</v>
      </c>
      <c r="G39" s="260">
        <v>0</v>
      </c>
      <c r="H39" s="260"/>
      <c r="I39" s="260"/>
      <c r="J39" s="21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 t="s">
        <v>225</v>
      </c>
      <c r="F40" s="260">
        <v>0</v>
      </c>
      <c r="G40" s="260">
        <v>0</v>
      </c>
      <c r="H40" s="260"/>
      <c r="I40" s="260"/>
      <c r="J40" s="21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>
        <v>194.44</v>
      </c>
      <c r="E41" s="260">
        <v>103806.65</v>
      </c>
      <c r="F41" s="260">
        <v>244284.51</v>
      </c>
      <c r="G41" s="260">
        <v>5985.74</v>
      </c>
      <c r="H41" s="260"/>
      <c r="I41" s="260"/>
      <c r="J41" s="21"/>
      <c r="K41" s="260"/>
      <c r="L41" s="260"/>
      <c r="M41" s="260"/>
      <c r="N41" s="260"/>
      <c r="O41" s="260"/>
      <c r="P41" s="47">
        <f t="shared" si="0"/>
        <v>354271.34</v>
      </c>
    </row>
    <row r="42" s="5" customFormat="1" spans="1:16">
      <c r="A42" s="205"/>
      <c r="B42" s="19" t="s">
        <v>114</v>
      </c>
      <c r="C42" s="206" t="s">
        <v>114</v>
      </c>
      <c r="D42" s="21">
        <v>2164.03</v>
      </c>
      <c r="E42" s="260">
        <v>4558.15</v>
      </c>
      <c r="F42" s="260">
        <v>8005.62</v>
      </c>
      <c r="G42" s="260">
        <v>3269.58</v>
      </c>
      <c r="H42" s="260"/>
      <c r="I42" s="260"/>
      <c r="J42" s="21"/>
      <c r="K42" s="260"/>
      <c r="L42" s="260"/>
      <c r="M42" s="260"/>
      <c r="N42" s="260"/>
      <c r="O42" s="260"/>
      <c r="P42" s="47">
        <f t="shared" si="0"/>
        <v>17997.38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 t="s">
        <v>225</v>
      </c>
      <c r="F43" s="260">
        <v>0</v>
      </c>
      <c r="G43" s="260">
        <v>0</v>
      </c>
      <c r="H43" s="260"/>
      <c r="I43" s="260"/>
      <c r="J43" s="21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>
        <v>-161.01</v>
      </c>
      <c r="F44" s="260">
        <v>-5.66</v>
      </c>
      <c r="G44" s="260">
        <v>68960.85</v>
      </c>
      <c r="H44" s="260"/>
      <c r="I44" s="260"/>
      <c r="J44" s="21"/>
      <c r="K44" s="260"/>
      <c r="L44" s="260"/>
      <c r="M44" s="260"/>
      <c r="N44" s="260"/>
      <c r="O44" s="260"/>
      <c r="P44" s="47">
        <f t="shared" si="0"/>
        <v>68794.18</v>
      </c>
    </row>
    <row r="45" s="5" customFormat="1" spans="1:16">
      <c r="A45" s="205"/>
      <c r="B45" s="23"/>
      <c r="C45" s="206" t="s">
        <v>118</v>
      </c>
      <c r="D45" s="21"/>
      <c r="E45" s="260" t="s">
        <v>225</v>
      </c>
      <c r="F45" s="260">
        <v>0</v>
      </c>
      <c r="G45" s="260">
        <v>0</v>
      </c>
      <c r="H45" s="260"/>
      <c r="I45" s="260"/>
      <c r="J45" s="21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273133.61</v>
      </c>
      <c r="E46" s="260">
        <v>586211.89</v>
      </c>
      <c r="F46" s="260">
        <v>586212.76</v>
      </c>
      <c r="G46" s="260">
        <v>586160.26</v>
      </c>
      <c r="H46" s="260"/>
      <c r="I46" s="260"/>
      <c r="J46" s="21"/>
      <c r="K46" s="260"/>
      <c r="L46" s="260"/>
      <c r="M46" s="260"/>
      <c r="N46" s="260"/>
      <c r="O46" s="260"/>
      <c r="P46" s="47">
        <f t="shared" si="0"/>
        <v>2031718.52</v>
      </c>
    </row>
    <row r="47" s="5" customFormat="1" spans="1:16">
      <c r="A47" s="205"/>
      <c r="B47" s="26" t="s">
        <v>120</v>
      </c>
      <c r="C47" s="207" t="s">
        <v>120</v>
      </c>
      <c r="D47" s="21">
        <v>26678.86</v>
      </c>
      <c r="E47" s="260">
        <v>26678.87</v>
      </c>
      <c r="F47" s="260">
        <v>26678.86</v>
      </c>
      <c r="G47" s="260">
        <v>26678.87</v>
      </c>
      <c r="H47" s="260"/>
      <c r="I47" s="260"/>
      <c r="J47" s="21"/>
      <c r="K47" s="260"/>
      <c r="L47" s="260"/>
      <c r="M47" s="260"/>
      <c r="N47" s="260"/>
      <c r="O47" s="260"/>
      <c r="P47" s="47">
        <f t="shared" si="0"/>
        <v>106715.46</v>
      </c>
    </row>
    <row r="48" s="189" customFormat="1" spans="1:16">
      <c r="A48" s="208"/>
      <c r="B48" s="34" t="s">
        <v>121</v>
      </c>
      <c r="C48" s="209" t="s">
        <v>121</v>
      </c>
      <c r="D48" s="21"/>
      <c r="E48" s="260">
        <v>38371.43</v>
      </c>
      <c r="F48" s="260">
        <v>0</v>
      </c>
      <c r="G48" s="260">
        <v>13163.27</v>
      </c>
      <c r="H48" s="260"/>
      <c r="I48" s="307"/>
      <c r="J48" s="21"/>
      <c r="K48" s="307"/>
      <c r="L48" s="307"/>
      <c r="M48" s="307"/>
      <c r="N48" s="307"/>
      <c r="O48" s="307"/>
      <c r="P48" s="47">
        <f t="shared" si="0"/>
        <v>51534.7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 t="s">
        <v>225</v>
      </c>
      <c r="F49" s="260">
        <v>0</v>
      </c>
      <c r="G49" s="260">
        <v>0</v>
      </c>
      <c r="H49" s="260"/>
      <c r="I49" s="260"/>
      <c r="J49" s="21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 t="s">
        <v>225</v>
      </c>
      <c r="F50" s="260">
        <v>0</v>
      </c>
      <c r="G50" s="260">
        <v>0</v>
      </c>
      <c r="H50" s="260"/>
      <c r="I50" s="260"/>
      <c r="J50" s="21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 t="s">
        <v>225</v>
      </c>
      <c r="F51" s="260">
        <v>0</v>
      </c>
      <c r="G51" s="260">
        <v>0</v>
      </c>
      <c r="H51" s="260"/>
      <c r="I51" s="260"/>
      <c r="J51" s="21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>
        <v>8954.09</v>
      </c>
      <c r="E52" s="260">
        <v>132.36</v>
      </c>
      <c r="F52" s="260">
        <v>-8549.14</v>
      </c>
      <c r="G52" s="260">
        <v>27091.74</v>
      </c>
      <c r="H52" s="260"/>
      <c r="I52" s="260"/>
      <c r="J52" s="21"/>
      <c r="K52" s="260"/>
      <c r="L52" s="260"/>
      <c r="M52" s="260"/>
      <c r="N52" s="260"/>
      <c r="O52" s="260"/>
      <c r="P52" s="47">
        <f t="shared" si="0"/>
        <v>27629.05</v>
      </c>
    </row>
    <row r="53" s="5" customFormat="1" spans="1:16">
      <c r="A53" s="211"/>
      <c r="B53" s="24"/>
      <c r="C53" s="207" t="s">
        <v>128</v>
      </c>
      <c r="D53" s="21"/>
      <c r="E53" s="260" t="s">
        <v>225</v>
      </c>
      <c r="F53" s="260">
        <v>0</v>
      </c>
      <c r="G53" s="260">
        <v>6346.98</v>
      </c>
      <c r="H53" s="260"/>
      <c r="I53" s="260"/>
      <c r="J53" s="21"/>
      <c r="K53" s="260"/>
      <c r="L53" s="260"/>
      <c r="M53" s="260"/>
      <c r="N53" s="260"/>
      <c r="O53" s="260"/>
      <c r="P53" s="47">
        <f t="shared" si="0"/>
        <v>6346.98</v>
      </c>
    </row>
    <row r="54" s="5" customFormat="1" spans="1:16">
      <c r="A54" s="211"/>
      <c r="B54" s="23"/>
      <c r="C54" s="207" t="s">
        <v>83</v>
      </c>
      <c r="D54" s="21"/>
      <c r="E54" s="260" t="s">
        <v>225</v>
      </c>
      <c r="F54" s="260">
        <v>0</v>
      </c>
      <c r="G54" s="260">
        <v>0</v>
      </c>
      <c r="H54" s="260"/>
      <c r="I54" s="260"/>
      <c r="J54" s="21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 t="s">
        <v>225</v>
      </c>
      <c r="F55" s="260">
        <v>0</v>
      </c>
      <c r="G55" s="260">
        <v>0</v>
      </c>
      <c r="H55" s="260"/>
      <c r="I55" s="260"/>
      <c r="J55" s="21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 t="s">
        <v>225</v>
      </c>
      <c r="F56" s="260">
        <v>0</v>
      </c>
      <c r="G56" s="260">
        <v>0</v>
      </c>
      <c r="H56" s="260"/>
      <c r="I56" s="260"/>
      <c r="J56" s="21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 t="s">
        <v>225</v>
      </c>
      <c r="F57" s="260">
        <v>2477.36</v>
      </c>
      <c r="G57" s="260">
        <v>15094.34</v>
      </c>
      <c r="H57" s="260"/>
      <c r="I57" s="260"/>
      <c r="J57" s="21"/>
      <c r="K57" s="260"/>
      <c r="L57" s="260"/>
      <c r="M57" s="260"/>
      <c r="N57" s="260"/>
      <c r="O57" s="260"/>
      <c r="P57" s="47">
        <f t="shared" si="0"/>
        <v>17571.7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 t="s">
        <v>225</v>
      </c>
      <c r="F58" s="260">
        <v>0</v>
      </c>
      <c r="G58" s="260">
        <v>0</v>
      </c>
      <c r="H58" s="260"/>
      <c r="I58" s="260"/>
      <c r="J58" s="21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 t="s">
        <v>225</v>
      </c>
      <c r="F59" s="260">
        <v>0</v>
      </c>
      <c r="G59" s="260">
        <v>0</v>
      </c>
      <c r="H59" s="260"/>
      <c r="I59" s="260"/>
      <c r="J59" s="21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 t="s">
        <v>225</v>
      </c>
      <c r="F60" s="260">
        <v>0</v>
      </c>
      <c r="G60" s="260">
        <v>0</v>
      </c>
      <c r="H60" s="260"/>
      <c r="I60" s="260"/>
      <c r="J60" s="21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 t="s">
        <v>225</v>
      </c>
      <c r="F61" s="260">
        <v>0</v>
      </c>
      <c r="G61" s="260">
        <v>0</v>
      </c>
      <c r="H61" s="260"/>
      <c r="I61" s="260"/>
      <c r="J61" s="21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 t="s">
        <v>225</v>
      </c>
      <c r="F62" s="260">
        <v>0</v>
      </c>
      <c r="G62" s="260">
        <v>0</v>
      </c>
      <c r="H62" s="260"/>
      <c r="I62" s="260"/>
      <c r="J62" s="21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 t="s">
        <v>225</v>
      </c>
      <c r="F63" s="260">
        <v>0</v>
      </c>
      <c r="G63" s="260">
        <v>0</v>
      </c>
      <c r="H63" s="260"/>
      <c r="I63" s="260"/>
      <c r="J63" s="21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>
        <v>875.59</v>
      </c>
      <c r="E64" s="260">
        <v>2955.13</v>
      </c>
      <c r="F64" s="260">
        <v>1760.43</v>
      </c>
      <c r="G64" s="260">
        <v>5079.58</v>
      </c>
      <c r="H64" s="260"/>
      <c r="I64" s="260"/>
      <c r="J64" s="21"/>
      <c r="K64" s="260"/>
      <c r="L64" s="260"/>
      <c r="M64" s="260"/>
      <c r="N64" s="260"/>
      <c r="O64" s="260"/>
      <c r="P64" s="47">
        <f t="shared" si="0"/>
        <v>10670.73</v>
      </c>
    </row>
    <row r="65" s="5" customFormat="1" spans="1:16">
      <c r="A65" s="217"/>
      <c r="B65" s="43" t="s">
        <v>141</v>
      </c>
      <c r="C65" s="207" t="s">
        <v>141</v>
      </c>
      <c r="D65" s="21">
        <v>27107.18</v>
      </c>
      <c r="E65" s="260">
        <v>24242.16</v>
      </c>
      <c r="F65" s="260">
        <v>4537.94</v>
      </c>
      <c r="G65" s="260">
        <v>11446.29</v>
      </c>
      <c r="H65" s="260"/>
      <c r="I65" s="260"/>
      <c r="J65" s="21"/>
      <c r="K65" s="260"/>
      <c r="L65" s="260"/>
      <c r="M65" s="260"/>
      <c r="N65" s="260"/>
      <c r="O65" s="260"/>
      <c r="P65" s="47">
        <f t="shared" si="0"/>
        <v>67333.57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>
        <v>33636.96</v>
      </c>
      <c r="F66" s="260">
        <v>6020.8</v>
      </c>
      <c r="G66" s="260">
        <v>26156.4</v>
      </c>
      <c r="H66" s="260"/>
      <c r="I66" s="260"/>
      <c r="J66" s="21"/>
      <c r="K66" s="260"/>
      <c r="L66" s="260"/>
      <c r="M66" s="260"/>
      <c r="N66" s="260"/>
      <c r="O66" s="260"/>
      <c r="P66" s="47">
        <f t="shared" si="0"/>
        <v>65814.16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 t="s">
        <v>225</v>
      </c>
      <c r="F67" s="260">
        <v>0</v>
      </c>
      <c r="G67" s="260">
        <v>0</v>
      </c>
      <c r="H67" s="260"/>
      <c r="I67" s="260"/>
      <c r="J67" s="21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 t="s">
        <v>225</v>
      </c>
      <c r="F68" s="260">
        <v>0</v>
      </c>
      <c r="G68" s="260">
        <v>0</v>
      </c>
      <c r="H68" s="260"/>
      <c r="I68" s="260"/>
      <c r="J68" s="21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 t="s">
        <v>225</v>
      </c>
      <c r="F69" s="260">
        <v>0</v>
      </c>
      <c r="G69" s="260">
        <v>3061.96</v>
      </c>
      <c r="H69" s="260"/>
      <c r="I69" s="260"/>
      <c r="J69" s="21"/>
      <c r="K69" s="260"/>
      <c r="L69" s="260"/>
      <c r="M69" s="260"/>
      <c r="N69" s="260"/>
      <c r="O69" s="260"/>
      <c r="P69" s="47">
        <f t="shared" si="0"/>
        <v>3061.96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>
        <v>171.7</v>
      </c>
      <c r="F70" s="260">
        <v>360.65</v>
      </c>
      <c r="G70" s="260">
        <v>450.94</v>
      </c>
      <c r="H70" s="260"/>
      <c r="I70" s="260"/>
      <c r="J70" s="21"/>
      <c r="K70" s="260"/>
      <c r="L70" s="260"/>
      <c r="M70" s="260"/>
      <c r="N70" s="260"/>
      <c r="O70" s="260"/>
      <c r="P70" s="47">
        <f t="shared" si="0"/>
        <v>983.29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 t="s">
        <v>225</v>
      </c>
      <c r="F71" s="260">
        <v>0</v>
      </c>
      <c r="G71" s="260">
        <v>0</v>
      </c>
      <c r="H71" s="260"/>
      <c r="I71" s="260"/>
      <c r="J71" s="21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 t="s">
        <v>225</v>
      </c>
      <c r="F72" s="260">
        <v>0</v>
      </c>
      <c r="G72" s="260">
        <v>0</v>
      </c>
      <c r="H72" s="260"/>
      <c r="I72" s="260"/>
      <c r="J72" s="21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 t="s">
        <v>225</v>
      </c>
      <c r="F73" s="260">
        <v>0</v>
      </c>
      <c r="G73" s="260">
        <v>0</v>
      </c>
      <c r="H73" s="260"/>
      <c r="I73" s="260"/>
      <c r="J73" s="21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 t="s">
        <v>225</v>
      </c>
      <c r="F74" s="260">
        <v>0</v>
      </c>
      <c r="G74" s="260">
        <v>0</v>
      </c>
      <c r="H74" s="260"/>
      <c r="I74" s="260"/>
      <c r="J74" s="21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 t="s">
        <v>225</v>
      </c>
      <c r="F75" s="260">
        <v>0</v>
      </c>
      <c r="G75" s="260">
        <v>0</v>
      </c>
      <c r="H75" s="260"/>
      <c r="I75" s="260"/>
      <c r="J75" s="21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>
        <v>387</v>
      </c>
      <c r="E76" s="260" t="s">
        <v>225</v>
      </c>
      <c r="F76" s="260">
        <v>781.55</v>
      </c>
      <c r="G76" s="260">
        <v>0</v>
      </c>
      <c r="H76" s="260"/>
      <c r="I76" s="260"/>
      <c r="J76" s="21"/>
      <c r="K76" s="260"/>
      <c r="L76" s="260"/>
      <c r="M76" s="260"/>
      <c r="N76" s="260"/>
      <c r="O76" s="260"/>
      <c r="P76" s="47">
        <f t="shared" si="1"/>
        <v>1168.55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 t="s">
        <v>225</v>
      </c>
      <c r="F77" s="260">
        <v>0</v>
      </c>
      <c r="G77" s="260">
        <v>0</v>
      </c>
      <c r="H77" s="260"/>
      <c r="I77" s="260"/>
      <c r="J77" s="21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 t="s">
        <v>225</v>
      </c>
      <c r="F78" s="260">
        <v>0</v>
      </c>
      <c r="G78" s="260">
        <v>0</v>
      </c>
      <c r="H78" s="260"/>
      <c r="I78" s="260"/>
      <c r="J78" s="21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 t="s">
        <v>225</v>
      </c>
      <c r="F79" s="260">
        <v>0</v>
      </c>
      <c r="G79" s="260">
        <v>25188.54</v>
      </c>
      <c r="H79" s="260"/>
      <c r="I79" s="260"/>
      <c r="J79" s="21"/>
      <c r="K79" s="260"/>
      <c r="L79" s="260"/>
      <c r="M79" s="260"/>
      <c r="N79" s="260"/>
      <c r="O79" s="260"/>
      <c r="P79" s="47">
        <f t="shared" si="1"/>
        <v>25188.54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>
        <v>1243.95</v>
      </c>
      <c r="E80" s="260">
        <v>4485</v>
      </c>
      <c r="F80" s="260">
        <v>2045.53</v>
      </c>
      <c r="G80" s="260">
        <v>786.06</v>
      </c>
      <c r="H80" s="260"/>
      <c r="I80" s="260"/>
      <c r="J80" s="21"/>
      <c r="K80" s="260"/>
      <c r="L80" s="260"/>
      <c r="M80" s="260"/>
      <c r="N80" s="260"/>
      <c r="O80" s="260"/>
      <c r="P80" s="47">
        <f t="shared" si="1"/>
        <v>8560.54</v>
      </c>
    </row>
    <row r="81" s="5" customFormat="1" spans="1:16">
      <c r="A81" s="224"/>
      <c r="B81" s="26" t="s">
        <v>162</v>
      </c>
      <c r="C81" s="25" t="s">
        <v>162</v>
      </c>
      <c r="D81" s="21"/>
      <c r="E81" s="260" t="s">
        <v>225</v>
      </c>
      <c r="F81" s="260">
        <v>0</v>
      </c>
      <c r="G81" s="260">
        <v>1635</v>
      </c>
      <c r="H81" s="260"/>
      <c r="I81" s="260"/>
      <c r="J81" s="21"/>
      <c r="K81" s="260"/>
      <c r="L81" s="260"/>
      <c r="M81" s="260"/>
      <c r="N81" s="260"/>
      <c r="O81" s="260"/>
      <c r="P81" s="47">
        <f t="shared" si="1"/>
        <v>1635</v>
      </c>
    </row>
    <row r="82" s="5" customFormat="1" spans="1:16">
      <c r="A82" s="224"/>
      <c r="B82" s="19" t="s">
        <v>163</v>
      </c>
      <c r="C82" s="25" t="s">
        <v>164</v>
      </c>
      <c r="D82" s="21"/>
      <c r="E82" s="260" t="s">
        <v>225</v>
      </c>
      <c r="F82" s="260">
        <v>0</v>
      </c>
      <c r="G82" s="260">
        <v>0</v>
      </c>
      <c r="H82" s="260"/>
      <c r="I82" s="260"/>
      <c r="J82" s="21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>
        <v>34720</v>
      </c>
      <c r="E83" s="260" t="s">
        <v>225</v>
      </c>
      <c r="F83" s="260">
        <v>9772</v>
      </c>
      <c r="G83" s="260">
        <v>0</v>
      </c>
      <c r="H83" s="260"/>
      <c r="I83" s="260"/>
      <c r="J83" s="21"/>
      <c r="K83" s="260"/>
      <c r="L83" s="260"/>
      <c r="M83" s="260"/>
      <c r="N83" s="260"/>
      <c r="O83" s="260"/>
      <c r="P83" s="47">
        <f t="shared" si="1"/>
        <v>44492</v>
      </c>
    </row>
    <row r="84" s="5" customFormat="1" spans="1:16">
      <c r="A84" s="224"/>
      <c r="B84" s="23"/>
      <c r="C84" s="25" t="s">
        <v>166</v>
      </c>
      <c r="D84" s="21"/>
      <c r="E84" s="260" t="s">
        <v>225</v>
      </c>
      <c r="F84" s="260">
        <v>0</v>
      </c>
      <c r="G84" s="260">
        <v>0</v>
      </c>
      <c r="H84" s="260"/>
      <c r="I84" s="260"/>
      <c r="J84" s="21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>
        <v>20700</v>
      </c>
      <c r="E85" s="260" t="s">
        <v>225</v>
      </c>
      <c r="F85" s="260">
        <v>0</v>
      </c>
      <c r="G85" s="260">
        <v>0</v>
      </c>
      <c r="H85" s="260"/>
      <c r="I85" s="260"/>
      <c r="J85" s="21"/>
      <c r="K85" s="260"/>
      <c r="L85" s="260"/>
      <c r="M85" s="260"/>
      <c r="N85" s="260"/>
      <c r="O85" s="260"/>
      <c r="P85" s="47">
        <f t="shared" si="1"/>
        <v>20700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 t="s">
        <v>225</v>
      </c>
      <c r="F86" s="260">
        <v>0</v>
      </c>
      <c r="G86" s="260">
        <v>0</v>
      </c>
      <c r="H86" s="260"/>
      <c r="I86" s="260"/>
      <c r="J86" s="21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 t="s">
        <v>225</v>
      </c>
      <c r="F87" s="260">
        <v>0</v>
      </c>
      <c r="G87" s="260">
        <v>0</v>
      </c>
      <c r="H87" s="260"/>
      <c r="I87" s="260"/>
      <c r="J87" s="21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 t="s">
        <v>225</v>
      </c>
      <c r="F88" s="260">
        <v>0</v>
      </c>
      <c r="G88" s="260">
        <v>0</v>
      </c>
      <c r="H88" s="260"/>
      <c r="I88" s="260"/>
      <c r="J88" s="21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 t="s">
        <v>225</v>
      </c>
      <c r="F89" s="260">
        <v>0</v>
      </c>
      <c r="G89" s="260">
        <v>0</v>
      </c>
      <c r="H89" s="260"/>
      <c r="I89" s="260"/>
      <c r="J89" s="21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 t="s">
        <v>225</v>
      </c>
      <c r="F90" s="260">
        <v>0</v>
      </c>
      <c r="G90" s="260">
        <v>0</v>
      </c>
      <c r="H90" s="260"/>
      <c r="I90" s="260"/>
      <c r="J90" s="21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39571.91</v>
      </c>
      <c r="E91" s="260">
        <v>80828.45</v>
      </c>
      <c r="F91" s="260">
        <v>121936.66</v>
      </c>
      <c r="G91" s="260">
        <v>158310.76</v>
      </c>
      <c r="H91" s="260"/>
      <c r="I91" s="260"/>
      <c r="J91" s="21"/>
      <c r="K91" s="260"/>
      <c r="L91" s="260"/>
      <c r="M91" s="260"/>
      <c r="N91" s="260"/>
      <c r="O91" s="260"/>
      <c r="P91" s="47">
        <f t="shared" si="1"/>
        <v>400647.78</v>
      </c>
    </row>
    <row r="92" s="5" customFormat="1" spans="1:16">
      <c r="A92" s="231"/>
      <c r="B92" s="26" t="s">
        <v>83</v>
      </c>
      <c r="C92" s="207" t="s">
        <v>83</v>
      </c>
      <c r="D92" s="21">
        <v>2984.85</v>
      </c>
      <c r="E92" s="260">
        <v>2984.84</v>
      </c>
      <c r="F92" s="260">
        <v>6498.85</v>
      </c>
      <c r="G92" s="260">
        <v>109628.04</v>
      </c>
      <c r="H92" s="260"/>
      <c r="I92" s="260"/>
      <c r="J92" s="21"/>
      <c r="K92" s="260"/>
      <c r="L92" s="260"/>
      <c r="M92" s="260"/>
      <c r="N92" s="260"/>
      <c r="O92" s="260"/>
      <c r="P92" s="47">
        <f t="shared" si="1"/>
        <v>122096.58</v>
      </c>
    </row>
    <row r="93" s="6" customFormat="1" ht="15.75" spans="1:16">
      <c r="A93" s="232" t="s">
        <v>12</v>
      </c>
      <c r="B93" s="234"/>
      <c r="C93" s="308"/>
      <c r="D93" s="58">
        <f t="shared" ref="D93:P93" si="2">SUM(D6:D92)</f>
        <v>751228.6</v>
      </c>
      <c r="E93" s="58">
        <f t="shared" si="2"/>
        <v>1289587.34</v>
      </c>
      <c r="F93" s="58">
        <f t="shared" si="2"/>
        <v>1489890.33</v>
      </c>
      <c r="G93" s="58">
        <f t="shared" si="2"/>
        <v>1428599.92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4959306.19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>
        <f>D93</f>
        <v>751228.6</v>
      </c>
      <c r="E96" s="47">
        <f t="shared" ref="E96:O96" si="3">E93</f>
        <v>1289587.34</v>
      </c>
      <c r="F96" s="47">
        <f t="shared" si="3"/>
        <v>1489890.33</v>
      </c>
      <c r="G96" s="47">
        <f t="shared" si="3"/>
        <v>1428599.92</v>
      </c>
      <c r="H96" s="47">
        <f t="shared" si="3"/>
        <v>0</v>
      </c>
      <c r="I96" s="47">
        <f t="shared" si="3"/>
        <v>0</v>
      </c>
      <c r="J96" s="47">
        <f t="shared" si="3"/>
        <v>0</v>
      </c>
      <c r="K96" s="47">
        <f t="shared" si="3"/>
        <v>0</v>
      </c>
      <c r="L96" s="47">
        <f t="shared" si="3"/>
        <v>0</v>
      </c>
      <c r="M96" s="47">
        <f t="shared" si="3"/>
        <v>0</v>
      </c>
      <c r="N96" s="47">
        <f t="shared" si="3"/>
        <v>0</v>
      </c>
      <c r="O96" s="47">
        <f t="shared" si="3"/>
        <v>0</v>
      </c>
      <c r="P96" s="47">
        <f t="shared" si="1"/>
        <v>4959306.19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236"/>
      <c r="H98" s="236"/>
      <c r="I98" s="236"/>
      <c r="J98" s="236"/>
      <c r="K98" s="236"/>
      <c r="L98" s="236"/>
      <c r="M98" s="236"/>
      <c r="N98" s="236"/>
      <c r="O98" s="236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4">
      <c r="D101" s="259"/>
    </row>
    <row r="102" spans="4:14">
      <c r="D102" s="68"/>
      <c r="F102" s="266">
        <v>1489890.33</v>
      </c>
      <c r="G102" s="68"/>
      <c r="K102" s="68"/>
      <c r="L102" s="68"/>
      <c r="M102" s="68"/>
      <c r="N102" s="68"/>
    </row>
    <row r="103" spans="6:16">
      <c r="F103" s="157">
        <f>F93-F102</f>
        <v>0</v>
      </c>
      <c r="H103" s="68"/>
      <c r="N103" s="96"/>
      <c r="P103" s="68"/>
    </row>
    <row r="104" spans="4:14">
      <c r="D104" s="68"/>
      <c r="F104" s="157"/>
      <c r="N104" s="68"/>
    </row>
    <row r="105" s="6" customFormat="1" ht="12" spans="4:12">
      <c r="D105" s="241"/>
      <c r="H105" s="157"/>
      <c r="K105" s="157"/>
      <c r="L105" s="157"/>
    </row>
    <row r="108" spans="11:11">
      <c r="K108" s="68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0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6.125" style="10" customWidth="1"/>
    <col min="5" max="5" width="11.75" style="6" customWidth="1"/>
    <col min="6" max="6" width="13.875" style="6" customWidth="1"/>
    <col min="7" max="7" width="12.75" style="10" customWidth="1"/>
    <col min="8" max="11" width="11.5" style="10" customWidth="1"/>
    <col min="12" max="12" width="14.62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226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315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22.5" customHeight="1" spans="1:19">
      <c r="A6" s="198" t="s">
        <v>69</v>
      </c>
      <c r="B6" s="19" t="s">
        <v>70</v>
      </c>
      <c r="C6" s="20" t="s">
        <v>70</v>
      </c>
      <c r="D6" s="21"/>
      <c r="E6" s="260"/>
      <c r="F6" s="260"/>
      <c r="G6" s="260"/>
      <c r="H6" s="260"/>
      <c r="I6" s="260"/>
      <c r="J6" s="21"/>
      <c r="K6" s="260"/>
      <c r="L6" s="260"/>
      <c r="M6" s="260"/>
      <c r="N6" s="260"/>
      <c r="O6" s="260"/>
      <c r="P6" s="47">
        <f>SUM(D6:O6)</f>
        <v>0</v>
      </c>
      <c r="Q6" s="48">
        <f>P6+P7+P8+P19+P22+P23+P24+P25+P26</f>
        <v>0</v>
      </c>
      <c r="R6" s="48">
        <f>Q6</f>
        <v>0</v>
      </c>
      <c r="S6" s="5">
        <f>R6/10000</f>
        <v>0</v>
      </c>
    </row>
    <row r="7" s="5" customForma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1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1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1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1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/>
      <c r="E11" s="260">
        <v>1300</v>
      </c>
      <c r="F11" s="260">
        <v>150</v>
      </c>
      <c r="G11" s="260"/>
      <c r="H11" s="260"/>
      <c r="I11" s="260"/>
      <c r="J11" s="21"/>
      <c r="K11" s="260"/>
      <c r="L11" s="260"/>
      <c r="M11" s="260"/>
      <c r="N11" s="260"/>
      <c r="O11" s="260"/>
      <c r="P11" s="47">
        <f t="shared" si="0"/>
        <v>1450</v>
      </c>
    </row>
    <row r="12" s="5" customForma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1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1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1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1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1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1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1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1"/>
      <c r="K19" s="260"/>
      <c r="L19" s="260"/>
      <c r="M19" s="260"/>
      <c r="N19" s="260"/>
      <c r="O19" s="260"/>
      <c r="P19" s="47">
        <f t="shared" si="0"/>
        <v>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1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1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1"/>
      <c r="K22" s="260"/>
      <c r="L22" s="260"/>
      <c r="M22" s="260"/>
      <c r="N22" s="260"/>
      <c r="O22" s="260"/>
      <c r="P22" s="47">
        <f t="shared" si="0"/>
        <v>0</v>
      </c>
    </row>
    <row r="23" s="5" customForma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1"/>
      <c r="K23" s="260"/>
      <c r="L23" s="260"/>
      <c r="M23" s="260"/>
      <c r="N23" s="260"/>
      <c r="O23" s="260"/>
      <c r="P23" s="47">
        <f t="shared" si="0"/>
        <v>0</v>
      </c>
    </row>
    <row r="24" s="5" customFormat="1" spans="1:16">
      <c r="A24" s="199"/>
      <c r="B24" s="24"/>
      <c r="C24" s="25" t="s">
        <v>90</v>
      </c>
      <c r="D24" s="21"/>
      <c r="E24" s="260"/>
      <c r="F24" s="260"/>
      <c r="G24" s="260"/>
      <c r="H24" s="260"/>
      <c r="I24" s="260"/>
      <c r="J24" s="21"/>
      <c r="K24" s="260"/>
      <c r="L24" s="260"/>
      <c r="M24" s="260"/>
      <c r="N24" s="260"/>
      <c r="O24" s="260"/>
      <c r="P24" s="47">
        <f t="shared" si="0"/>
        <v>0</v>
      </c>
    </row>
    <row r="25" s="5" customForma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1"/>
      <c r="K25" s="260"/>
      <c r="L25" s="260"/>
      <c r="M25" s="260"/>
      <c r="N25" s="260"/>
      <c r="O25" s="260"/>
      <c r="P25" s="47">
        <f t="shared" si="0"/>
        <v>0</v>
      </c>
    </row>
    <row r="26" s="5" customForma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1"/>
      <c r="K26" s="260"/>
      <c r="L26" s="260"/>
      <c r="M26" s="260"/>
      <c r="N26" s="260"/>
      <c r="O26" s="260"/>
      <c r="P26" s="47">
        <f t="shared" si="0"/>
        <v>0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1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1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260">
        <v>432.56</v>
      </c>
      <c r="H29" s="260"/>
      <c r="I29" s="260"/>
      <c r="J29" s="21"/>
      <c r="K29" s="260"/>
      <c r="L29" s="260"/>
      <c r="M29" s="260"/>
      <c r="N29" s="260"/>
      <c r="O29" s="260"/>
      <c r="P29" s="47">
        <f t="shared" si="0"/>
        <v>432.56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>
        <v>500</v>
      </c>
      <c r="G30" s="260"/>
      <c r="H30" s="260"/>
      <c r="I30" s="260"/>
      <c r="J30" s="21"/>
      <c r="K30" s="260"/>
      <c r="L30" s="260"/>
      <c r="M30" s="260"/>
      <c r="N30" s="260"/>
      <c r="O30" s="260"/>
      <c r="P30" s="47">
        <f t="shared" si="0"/>
        <v>500</v>
      </c>
    </row>
    <row r="31" s="5" customFormat="1" spans="1:16">
      <c r="A31" s="202"/>
      <c r="B31" s="19" t="s">
        <v>99</v>
      </c>
      <c r="C31" s="25" t="s">
        <v>100</v>
      </c>
      <c r="D31" s="21"/>
      <c r="E31" s="260">
        <v>1120</v>
      </c>
      <c r="F31" s="260"/>
      <c r="G31" s="260"/>
      <c r="H31" s="260"/>
      <c r="I31" s="260"/>
      <c r="J31" s="21"/>
      <c r="K31" s="260"/>
      <c r="L31" s="260"/>
      <c r="M31" s="260"/>
      <c r="N31" s="260"/>
      <c r="O31" s="260"/>
      <c r="P31" s="47">
        <f t="shared" si="0"/>
        <v>1120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1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1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>
        <v>1627.23</v>
      </c>
      <c r="F34" s="260">
        <v>45</v>
      </c>
      <c r="G34" s="260"/>
      <c r="H34" s="260"/>
      <c r="I34" s="260"/>
      <c r="J34" s="21"/>
      <c r="K34" s="260"/>
      <c r="L34" s="260"/>
      <c r="M34" s="260"/>
      <c r="N34" s="260"/>
      <c r="O34" s="260"/>
      <c r="P34" s="47">
        <f t="shared" si="0"/>
        <v>1672.23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1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>
        <v>2661.56</v>
      </c>
      <c r="G36" s="260">
        <v>9676.69</v>
      </c>
      <c r="H36" s="260"/>
      <c r="I36" s="260"/>
      <c r="J36" s="21"/>
      <c r="K36" s="260"/>
      <c r="L36" s="260"/>
      <c r="M36" s="260"/>
      <c r="N36" s="260"/>
      <c r="O36" s="260"/>
      <c r="P36" s="47">
        <f t="shared" si="0"/>
        <v>12338.25</v>
      </c>
    </row>
    <row r="37" s="5" customFormat="1" spans="1:16">
      <c r="A37" s="202"/>
      <c r="B37" s="26" t="s">
        <v>107</v>
      </c>
      <c r="C37" s="25" t="s">
        <v>107</v>
      </c>
      <c r="D37" s="21"/>
      <c r="E37" s="260">
        <v>19100.05</v>
      </c>
      <c r="F37" s="260"/>
      <c r="G37" s="260"/>
      <c r="H37" s="260"/>
      <c r="I37" s="260"/>
      <c r="J37" s="21"/>
      <c r="K37" s="260"/>
      <c r="L37" s="260"/>
      <c r="M37" s="260"/>
      <c r="N37" s="260"/>
      <c r="O37" s="260"/>
      <c r="P37" s="47">
        <f t="shared" si="0"/>
        <v>19100.05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1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1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1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1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>
        <v>343.2</v>
      </c>
      <c r="G42" s="260"/>
      <c r="H42" s="260"/>
      <c r="I42" s="260"/>
      <c r="J42" s="21"/>
      <c r="K42" s="260"/>
      <c r="L42" s="260"/>
      <c r="M42" s="260"/>
      <c r="N42" s="260"/>
      <c r="O42" s="260"/>
      <c r="P42" s="47">
        <f t="shared" si="0"/>
        <v>343.2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1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1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1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12145.63</v>
      </c>
      <c r="E46" s="260">
        <v>12145.63</v>
      </c>
      <c r="F46" s="260">
        <v>12145.63</v>
      </c>
      <c r="G46" s="260">
        <v>12145.62</v>
      </c>
      <c r="H46" s="260"/>
      <c r="I46" s="260"/>
      <c r="J46" s="21"/>
      <c r="K46" s="260"/>
      <c r="L46" s="260"/>
      <c r="M46" s="260"/>
      <c r="N46" s="260"/>
      <c r="O46" s="260"/>
      <c r="P46" s="47">
        <f t="shared" si="0"/>
        <v>48582.51</v>
      </c>
    </row>
    <row r="47" s="5" customFormat="1" spans="1:16">
      <c r="A47" s="205"/>
      <c r="B47" s="26" t="s">
        <v>120</v>
      </c>
      <c r="C47" s="207" t="s">
        <v>120</v>
      </c>
      <c r="D47" s="21">
        <v>65032.39</v>
      </c>
      <c r="E47" s="260">
        <v>65032.39</v>
      </c>
      <c r="F47" s="260">
        <v>65032.39</v>
      </c>
      <c r="G47" s="260">
        <v>65032.39</v>
      </c>
      <c r="H47" s="260"/>
      <c r="I47" s="260"/>
      <c r="J47" s="21"/>
      <c r="K47" s="260"/>
      <c r="L47" s="260"/>
      <c r="M47" s="260"/>
      <c r="N47" s="260"/>
      <c r="O47" s="260"/>
      <c r="P47" s="47">
        <f t="shared" si="0"/>
        <v>260129.56</v>
      </c>
    </row>
    <row r="48" s="189" customFormat="1" spans="1:16">
      <c r="A48" s="208"/>
      <c r="B48" s="34" t="s">
        <v>121</v>
      </c>
      <c r="C48" s="209" t="s">
        <v>121</v>
      </c>
      <c r="D48" s="314"/>
      <c r="E48" s="260"/>
      <c r="F48" s="260"/>
      <c r="G48" s="260"/>
      <c r="H48" s="260"/>
      <c r="I48" s="307"/>
      <c r="J48" s="21"/>
      <c r="K48" s="307"/>
      <c r="L48" s="307"/>
      <c r="M48" s="307"/>
      <c r="N48" s="307"/>
      <c r="O48" s="260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1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1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1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1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1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1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1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1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1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1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1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1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1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1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1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1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1"/>
      <c r="K65" s="260"/>
      <c r="L65" s="260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1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1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1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1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/>
      <c r="F70" s="260">
        <v>104</v>
      </c>
      <c r="G70" s="260">
        <v>125</v>
      </c>
      <c r="H70" s="260"/>
      <c r="I70" s="260"/>
      <c r="J70" s="21"/>
      <c r="K70" s="260"/>
      <c r="L70" s="260"/>
      <c r="M70" s="260"/>
      <c r="N70" s="260"/>
      <c r="O70" s="260"/>
      <c r="P70" s="47">
        <f t="shared" si="0"/>
        <v>229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1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1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1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1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1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1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1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1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1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1"/>
      <c r="K80" s="260"/>
      <c r="L80" s="260"/>
      <c r="M80" s="260"/>
      <c r="N80" s="260"/>
      <c r="O80" s="260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1"/>
      <c r="K81" s="260"/>
      <c r="L81" s="260"/>
      <c r="M81" s="260"/>
      <c r="N81" s="260"/>
      <c r="O81" s="260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1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1"/>
      <c r="K83" s="260"/>
      <c r="L83" s="260"/>
      <c r="M83" s="260"/>
      <c r="N83" s="260"/>
      <c r="O83" s="260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1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1"/>
      <c r="K85" s="260"/>
      <c r="L85" s="260"/>
      <c r="M85" s="260"/>
      <c r="N85" s="260"/>
      <c r="O85" s="260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1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1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1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1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1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1"/>
      <c r="K91" s="260"/>
      <c r="L91" s="260"/>
      <c r="M91" s="260"/>
      <c r="N91" s="260"/>
      <c r="O91" s="260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/>
      <c r="E92" s="260"/>
      <c r="F92" s="260"/>
      <c r="G92" s="260"/>
      <c r="H92" s="260"/>
      <c r="I92" s="260"/>
      <c r="J92" s="21"/>
      <c r="K92" s="260"/>
      <c r="L92" s="260"/>
      <c r="M92" s="260"/>
      <c r="N92" s="260"/>
      <c r="O92" s="260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77178.02</v>
      </c>
      <c r="E93" s="58">
        <f t="shared" ref="E93:P93" si="2">SUM(E6:E92)</f>
        <v>100325.3</v>
      </c>
      <c r="F93" s="58">
        <f t="shared" si="2"/>
        <v>80981.78</v>
      </c>
      <c r="G93" s="58">
        <f t="shared" si="2"/>
        <v>87412.26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345897.36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>
        <f>D93</f>
        <v>77178.02</v>
      </c>
      <c r="E96" s="47">
        <f t="shared" ref="E96:O96" si="3">E93</f>
        <v>100325.3</v>
      </c>
      <c r="F96" s="47">
        <f t="shared" si="3"/>
        <v>80981.78</v>
      </c>
      <c r="G96" s="47">
        <f t="shared" si="3"/>
        <v>87412.26</v>
      </c>
      <c r="H96" s="47">
        <f t="shared" si="3"/>
        <v>0</v>
      </c>
      <c r="I96" s="47">
        <f t="shared" si="3"/>
        <v>0</v>
      </c>
      <c r="J96" s="47">
        <f t="shared" si="3"/>
        <v>0</v>
      </c>
      <c r="K96" s="47">
        <f t="shared" si="3"/>
        <v>0</v>
      </c>
      <c r="L96" s="47">
        <f t="shared" si="3"/>
        <v>0</v>
      </c>
      <c r="M96" s="47">
        <f t="shared" si="3"/>
        <v>0</v>
      </c>
      <c r="N96" s="47">
        <f t="shared" si="3"/>
        <v>0</v>
      </c>
      <c r="O96" s="47">
        <f t="shared" si="3"/>
        <v>0</v>
      </c>
      <c r="P96" s="47">
        <f t="shared" si="1"/>
        <v>345897.36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236"/>
      <c r="H98" s="236"/>
      <c r="I98" s="236"/>
      <c r="J98" s="236"/>
      <c r="K98" s="236"/>
      <c r="L98" s="236"/>
      <c r="M98" s="236"/>
      <c r="N98" s="236"/>
      <c r="O98" s="236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12">
      <c r="D101" s="259"/>
      <c r="F101" s="266">
        <v>80981.78</v>
      </c>
      <c r="L101" s="157">
        <f>L93+'G-宜春天赐'!L93+'G-美思'!L93</f>
        <v>0</v>
      </c>
    </row>
    <row r="102" spans="4:7">
      <c r="D102" s="68"/>
      <c r="G102" s="68"/>
    </row>
    <row r="103" spans="16:16">
      <c r="P103" s="68"/>
    </row>
    <row r="104" spans="4:4">
      <c r="D104" s="68"/>
    </row>
    <row r="105" s="6" customFormat="1" ht="12" spans="4:4">
      <c r="D105" s="241"/>
    </row>
    <row r="106" spans="8:8">
      <c r="H106" s="6"/>
    </row>
    <row r="107" spans="8:8">
      <c r="H107" s="6"/>
    </row>
    <row r="108" spans="8:8">
      <c r="H108" s="6"/>
    </row>
    <row r="109" spans="8:8">
      <c r="H109" s="6"/>
    </row>
    <row r="110" spans="8:8">
      <c r="H110" s="6"/>
    </row>
  </sheetData>
  <autoFilter ref="A5:S101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6"/>
  <sheetViews>
    <sheetView workbookViewId="0">
      <pane xSplit="3" ySplit="5" topLeftCell="D82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5" style="10" customWidth="1"/>
    <col min="5" max="5" width="11.75" style="6" customWidth="1"/>
    <col min="6" max="6" width="11.5" style="6" customWidth="1"/>
    <col min="7" max="12" width="11.5" style="10" customWidth="1"/>
    <col min="13" max="13" width="14.375" style="10" customWidth="1"/>
    <col min="14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227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7324</v>
      </c>
      <c r="E6" s="260">
        <v>8592.06</v>
      </c>
      <c r="F6" s="260">
        <v>5785.97</v>
      </c>
      <c r="G6" s="260">
        <v>-89.05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21612.98</v>
      </c>
      <c r="Q6" s="48">
        <f>P6+P7+P8+P19+P22+P23+P24+P25+P26</f>
        <v>28024.29</v>
      </c>
      <c r="R6" s="48">
        <f>Q6</f>
        <v>28024.29</v>
      </c>
      <c r="S6" s="5">
        <f>R6/10000</f>
        <v>2.802429</v>
      </c>
    </row>
    <row r="7" s="5" customFormat="1" spans="1:16">
      <c r="A7" s="199"/>
      <c r="B7" s="23"/>
      <c r="C7" s="20" t="s">
        <v>71</v>
      </c>
      <c r="D7" s="21">
        <v>6404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6404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spans="1:16">
      <c r="A24" s="199"/>
      <c r="B24" s="24"/>
      <c r="C24" s="25" t="s">
        <v>90</v>
      </c>
      <c r="D24" s="21">
        <v>7.31</v>
      </c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7.31</v>
      </c>
    </row>
    <row r="25" s="5" customForma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/>
      <c r="F34" s="260">
        <v>59</v>
      </c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59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115151.89</v>
      </c>
      <c r="E46" s="260">
        <v>115151.87</v>
      </c>
      <c r="F46" s="260">
        <v>113031.76</v>
      </c>
      <c r="G46" s="130">
        <v>113031.73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456367.25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4"/>
      <c r="E48" s="260"/>
      <c r="F48" s="260"/>
      <c r="G48" s="260"/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/>
      <c r="F70" s="260">
        <v>102</v>
      </c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102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/>
      <c r="E92" s="260"/>
      <c r="F92" s="260"/>
      <c r="G92" s="130">
        <v>10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10</v>
      </c>
    </row>
    <row r="93" s="6" customFormat="1" ht="15.75" spans="1:16">
      <c r="A93" s="232" t="s">
        <v>12</v>
      </c>
      <c r="B93" s="234"/>
      <c r="C93" s="308"/>
      <c r="D93" s="58">
        <f>SUM(D6:D92)</f>
        <v>128887.2</v>
      </c>
      <c r="E93" s="58">
        <f t="shared" ref="E93:P93" si="2">SUM(E6:E92)</f>
        <v>123743.93</v>
      </c>
      <c r="F93" s="58">
        <f t="shared" si="2"/>
        <v>118978.73</v>
      </c>
      <c r="G93" s="58">
        <f t="shared" si="2"/>
        <v>112952.68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484562.54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7">
      <c r="A96" s="252" t="s">
        <v>178</v>
      </c>
      <c r="B96" s="253"/>
      <c r="C96" s="254"/>
      <c r="D96" s="47">
        <f>D93</f>
        <v>128887.2</v>
      </c>
      <c r="E96" s="47">
        <f t="shared" ref="E96:O96" si="3">E93</f>
        <v>123743.93</v>
      </c>
      <c r="F96" s="47">
        <f t="shared" si="3"/>
        <v>118978.73</v>
      </c>
      <c r="G96" s="47">
        <f t="shared" si="3"/>
        <v>112952.68</v>
      </c>
      <c r="H96" s="47">
        <f t="shared" si="3"/>
        <v>0</v>
      </c>
      <c r="I96" s="47">
        <f t="shared" si="3"/>
        <v>0</v>
      </c>
      <c r="J96" s="47">
        <f t="shared" si="3"/>
        <v>0</v>
      </c>
      <c r="K96" s="47">
        <f t="shared" si="3"/>
        <v>0</v>
      </c>
      <c r="L96" s="47">
        <f t="shared" si="3"/>
        <v>0</v>
      </c>
      <c r="M96" s="47">
        <f t="shared" si="3"/>
        <v>0</v>
      </c>
      <c r="N96" s="47">
        <f t="shared" si="3"/>
        <v>0</v>
      </c>
      <c r="O96" s="47">
        <f t="shared" si="3"/>
        <v>0</v>
      </c>
      <c r="P96" s="236">
        <f t="shared" ref="P96:Q96" si="4">P93</f>
        <v>484562.54</v>
      </c>
      <c r="Q96" s="236">
        <f t="shared" si="4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5">IF(SUM(E94:E98)=E93,"ok","no")</f>
        <v>ok</v>
      </c>
      <c r="F100" s="90" t="str">
        <f t="shared" si="5"/>
        <v>ok</v>
      </c>
      <c r="G100" s="90" t="str">
        <f t="shared" si="5"/>
        <v>ok</v>
      </c>
      <c r="H100" s="90" t="str">
        <f t="shared" si="5"/>
        <v>ok</v>
      </c>
      <c r="I100" s="90" t="str">
        <f t="shared" si="5"/>
        <v>ok</v>
      </c>
      <c r="J100" s="90" t="str">
        <f t="shared" si="5"/>
        <v>ok</v>
      </c>
      <c r="K100" s="90" t="str">
        <f t="shared" si="5"/>
        <v>ok</v>
      </c>
      <c r="L100" s="90" t="str">
        <f t="shared" si="5"/>
        <v>ok</v>
      </c>
      <c r="M100" s="90" t="str">
        <f t="shared" si="5"/>
        <v>ok</v>
      </c>
      <c r="N100" s="90" t="str">
        <f t="shared" si="5"/>
        <v>ok</v>
      </c>
      <c r="O100" s="90" t="str">
        <f t="shared" si="5"/>
        <v>ok</v>
      </c>
    </row>
    <row r="101" s="6" customFormat="1" ht="12" spans="4:4">
      <c r="D101" s="259"/>
    </row>
    <row r="102" spans="4:13">
      <c r="D102" s="68"/>
      <c r="M102" s="101">
        <f>M98+'G-宜春天赐'!M98</f>
        <v>0</v>
      </c>
    </row>
    <row r="103" spans="16:16">
      <c r="P103" s="68"/>
    </row>
    <row r="104" spans="4:8">
      <c r="D104" s="68"/>
      <c r="G104"/>
      <c r="H104" s="130"/>
    </row>
    <row r="105" s="6" customFormat="1" ht="13.5" spans="4:8">
      <c r="D105" s="241"/>
      <c r="G105"/>
      <c r="H105" s="130"/>
    </row>
    <row r="106" spans="7:8">
      <c r="G106"/>
      <c r="H106" s="130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K101">
    <cfRule type="cellIs" dxfId="0" priority="3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C000"/>
  </sheetPr>
  <dimension ref="A1:S117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2" width="13.875" style="10" customWidth="1"/>
    <col min="3" max="3" width="13" style="10" customWidth="1"/>
    <col min="4" max="4" width="16.125" style="10" customWidth="1"/>
    <col min="5" max="5" width="11.5" style="6" customWidth="1"/>
    <col min="6" max="6" width="13.125" style="6" customWidth="1"/>
    <col min="7" max="12" width="11.5" style="10" customWidth="1"/>
    <col min="13" max="15" width="12.75" style="10" customWidth="1"/>
    <col min="16" max="16" width="17.5" style="10" customWidth="1"/>
    <col min="17" max="17" width="9" style="10"/>
    <col min="18" max="18" width="19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11" t="s">
        <v>228</v>
      </c>
      <c r="B1" s="11"/>
      <c r="C1" s="11"/>
      <c r="D1" s="11"/>
      <c r="E1" s="6"/>
      <c r="F1" s="6"/>
    </row>
    <row r="2" s="2" customFormat="1" spans="1:6">
      <c r="A2" s="2" t="s">
        <v>64</v>
      </c>
      <c r="E2" s="7"/>
      <c r="F2" s="315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idden="1" spans="1:19">
      <c r="A6" s="198" t="s">
        <v>69</v>
      </c>
      <c r="B6" s="19" t="s">
        <v>70</v>
      </c>
      <c r="C6" s="20" t="s">
        <v>70</v>
      </c>
      <c r="D6" s="21">
        <v>1455792.19</v>
      </c>
      <c r="E6" s="260">
        <f>1483265.71+37782.72</f>
        <v>1521048.43</v>
      </c>
      <c r="F6" s="260">
        <v>1313170.95</v>
      </c>
      <c r="G6" s="260">
        <v>946223.39</v>
      </c>
      <c r="H6" s="260">
        <f>(G6-F6)/10000</f>
        <v>-36.694756</v>
      </c>
      <c r="I6" s="46"/>
      <c r="J6" s="260"/>
      <c r="K6" s="46"/>
      <c r="L6" s="260"/>
      <c r="M6" s="260"/>
      <c r="N6" s="260"/>
      <c r="O6" s="260"/>
      <c r="P6" s="47">
        <f>SUM(D6:O6)</f>
        <v>5236198.265244</v>
      </c>
      <c r="Q6" s="48">
        <f>P6+P7+P8+P19+P22+P23+P24+P25+P26</f>
        <v>6357655.151944</v>
      </c>
      <c r="R6" s="48">
        <f>Q6+'X-九江'!Q6+'Z-九江'!Q6+'G-天祺'!Q6+'Y-九江'!Q6</f>
        <v>8996076.411944</v>
      </c>
      <c r="S6" s="5">
        <f>R6/10000</f>
        <v>899.6076411944</v>
      </c>
    </row>
    <row r="7" s="5" customFormat="1" hidden="1" spans="1:16">
      <c r="A7" s="199"/>
      <c r="B7" s="23"/>
      <c r="C7" s="20" t="s">
        <v>71</v>
      </c>
      <c r="D7" s="21">
        <v>19323.12</v>
      </c>
      <c r="E7" s="260">
        <v>97300.99</v>
      </c>
      <c r="F7" s="260">
        <v>86489.11</v>
      </c>
      <c r="G7" s="260">
        <v>81351.09</v>
      </c>
      <c r="H7" s="260">
        <f t="shared" ref="H7:H70" si="0">(G7-F7)/10000</f>
        <v>-0.513801999999998</v>
      </c>
      <c r="I7" s="46"/>
      <c r="J7" s="260"/>
      <c r="K7" s="46"/>
      <c r="L7" s="260"/>
      <c r="M7" s="260"/>
      <c r="N7" s="260"/>
      <c r="O7" s="260"/>
      <c r="P7" s="47">
        <f t="shared" ref="P7:P70" si="1">SUM(D7:O7)</f>
        <v>284463.796198</v>
      </c>
    </row>
    <row r="8" s="5" customFormat="1" hidden="1" spans="1:16">
      <c r="A8" s="199"/>
      <c r="B8" s="19" t="s">
        <v>72</v>
      </c>
      <c r="C8" s="20" t="s">
        <v>72</v>
      </c>
      <c r="D8" s="21">
        <v>29378.84</v>
      </c>
      <c r="E8" s="260">
        <v>30947.17</v>
      </c>
      <c r="F8" s="260">
        <v>87065.74</v>
      </c>
      <c r="G8" s="260">
        <v>118436.66</v>
      </c>
      <c r="H8" s="260">
        <f t="shared" si="0"/>
        <v>3.137092</v>
      </c>
      <c r="I8" s="46"/>
      <c r="J8" s="260"/>
      <c r="K8" s="46"/>
      <c r="L8" s="260"/>
      <c r="M8" s="260"/>
      <c r="N8" s="260"/>
      <c r="O8" s="260"/>
      <c r="P8" s="47">
        <f t="shared" si="1"/>
        <v>265831.547092</v>
      </c>
    </row>
    <row r="9" s="5" customFormat="1" hidden="1" spans="1:16">
      <c r="A9" s="199"/>
      <c r="B9" s="19" t="s">
        <v>73</v>
      </c>
      <c r="C9" s="20" t="s">
        <v>73</v>
      </c>
      <c r="D9" s="21">
        <v>540</v>
      </c>
      <c r="E9" s="260" t="s">
        <v>214</v>
      </c>
      <c r="F9" s="260">
        <v>1000</v>
      </c>
      <c r="G9" s="260">
        <v>0</v>
      </c>
      <c r="H9" s="260">
        <f t="shared" si="0"/>
        <v>-0.1</v>
      </c>
      <c r="I9" s="46"/>
      <c r="J9" s="260"/>
      <c r="K9" s="46"/>
      <c r="L9" s="260"/>
      <c r="M9" s="260"/>
      <c r="N9" s="260"/>
      <c r="O9" s="260"/>
      <c r="P9" s="47">
        <f t="shared" si="1"/>
        <v>1539.9</v>
      </c>
    </row>
    <row r="10" s="5" customFormat="1" hidden="1" spans="1:16">
      <c r="A10" s="199"/>
      <c r="B10" s="19" t="s">
        <v>74</v>
      </c>
      <c r="C10" s="20" t="s">
        <v>75</v>
      </c>
      <c r="D10" s="21">
        <v>-116521.78</v>
      </c>
      <c r="E10" s="260">
        <v>113449</v>
      </c>
      <c r="F10" s="260">
        <v>557950.26</v>
      </c>
      <c r="G10" s="260">
        <v>123155.47</v>
      </c>
      <c r="H10" s="260">
        <f t="shared" si="0"/>
        <v>-43.479479</v>
      </c>
      <c r="I10" s="46"/>
      <c r="J10" s="260"/>
      <c r="K10" s="46"/>
      <c r="L10" s="260"/>
      <c r="M10" s="260"/>
      <c r="N10" s="260"/>
      <c r="O10" s="260"/>
      <c r="P10" s="47">
        <f t="shared" si="1"/>
        <v>677989.470521</v>
      </c>
    </row>
    <row r="11" s="5" customFormat="1" hidden="1" spans="1:16">
      <c r="A11" s="199"/>
      <c r="B11" s="24"/>
      <c r="C11" s="25" t="s">
        <v>76</v>
      </c>
      <c r="D11" s="21">
        <v>50557.88</v>
      </c>
      <c r="E11" s="260">
        <v>2188</v>
      </c>
      <c r="F11" s="260">
        <v>4595</v>
      </c>
      <c r="G11" s="260">
        <v>268221.68</v>
      </c>
      <c r="H11" s="260">
        <f t="shared" si="0"/>
        <v>26.362668</v>
      </c>
      <c r="I11" s="46"/>
      <c r="J11" s="260"/>
      <c r="K11" s="46"/>
      <c r="L11" s="260"/>
      <c r="M11" s="260"/>
      <c r="N11" s="260"/>
      <c r="O11" s="260"/>
      <c r="P11" s="47">
        <f t="shared" si="1"/>
        <v>325588.922668</v>
      </c>
    </row>
    <row r="12" s="5" customFormat="1" hidden="1" spans="1:16">
      <c r="A12" s="199"/>
      <c r="B12" s="24"/>
      <c r="C12" s="20" t="s">
        <v>77</v>
      </c>
      <c r="D12" s="21"/>
      <c r="E12" s="260" t="s">
        <v>214</v>
      </c>
      <c r="F12" s="260">
        <v>0</v>
      </c>
      <c r="G12" s="260">
        <v>0</v>
      </c>
      <c r="H12" s="260">
        <f t="shared" si="0"/>
        <v>0</v>
      </c>
      <c r="I12" s="46"/>
      <c r="J12" s="260"/>
      <c r="K12" s="46"/>
      <c r="L12" s="260"/>
      <c r="M12" s="260"/>
      <c r="N12" s="260"/>
      <c r="O12" s="260"/>
      <c r="P12" s="47">
        <f t="shared" si="1"/>
        <v>0</v>
      </c>
    </row>
    <row r="13" s="5" customFormat="1" hidden="1" spans="1:16">
      <c r="A13" s="199"/>
      <c r="B13" s="24"/>
      <c r="C13" s="25" t="s">
        <v>78</v>
      </c>
      <c r="D13" s="21">
        <v>0</v>
      </c>
      <c r="E13" s="260" t="s">
        <v>214</v>
      </c>
      <c r="F13" s="260">
        <v>0</v>
      </c>
      <c r="G13" s="260">
        <v>11340.96</v>
      </c>
      <c r="H13" s="260">
        <f t="shared" si="0"/>
        <v>1.134096</v>
      </c>
      <c r="I13" s="46"/>
      <c r="J13" s="260"/>
      <c r="K13" s="46"/>
      <c r="L13" s="260"/>
      <c r="M13" s="260"/>
      <c r="N13" s="260"/>
      <c r="O13" s="260"/>
      <c r="P13" s="47">
        <f t="shared" si="1"/>
        <v>11342.094096</v>
      </c>
    </row>
    <row r="14" s="5" customFormat="1" hidden="1" spans="1:16">
      <c r="A14" s="199"/>
      <c r="B14" s="24"/>
      <c r="C14" s="20" t="s">
        <v>79</v>
      </c>
      <c r="D14" s="21">
        <v>1700</v>
      </c>
      <c r="E14" s="260">
        <v>41300</v>
      </c>
      <c r="F14" s="260">
        <v>1100</v>
      </c>
      <c r="G14" s="260">
        <v>5350</v>
      </c>
      <c r="H14" s="260">
        <f t="shared" si="0"/>
        <v>0.425</v>
      </c>
      <c r="I14" s="46"/>
      <c r="J14" s="260"/>
      <c r="K14" s="46"/>
      <c r="L14" s="260"/>
      <c r="M14" s="260"/>
      <c r="N14" s="260"/>
      <c r="O14" s="260"/>
      <c r="P14" s="47">
        <f t="shared" si="1"/>
        <v>49450.425</v>
      </c>
    </row>
    <row r="15" s="5" customFormat="1" hidden="1" spans="1:16">
      <c r="A15" s="199"/>
      <c r="B15" s="24"/>
      <c r="C15" s="25" t="s">
        <v>80</v>
      </c>
      <c r="D15" s="21"/>
      <c r="E15" s="260" t="s">
        <v>214</v>
      </c>
      <c r="F15" s="260">
        <v>0</v>
      </c>
      <c r="G15" s="260">
        <v>0</v>
      </c>
      <c r="H15" s="260">
        <f t="shared" si="0"/>
        <v>0</v>
      </c>
      <c r="I15" s="46"/>
      <c r="J15" s="260"/>
      <c r="K15" s="46"/>
      <c r="L15" s="260"/>
      <c r="M15" s="260"/>
      <c r="N15" s="260"/>
      <c r="O15" s="260"/>
      <c r="P15" s="47">
        <f t="shared" si="1"/>
        <v>0</v>
      </c>
    </row>
    <row r="16" s="5" customFormat="1" hidden="1" spans="1:16">
      <c r="A16" s="199"/>
      <c r="B16" s="24"/>
      <c r="C16" s="25" t="s">
        <v>81</v>
      </c>
      <c r="D16" s="21"/>
      <c r="E16" s="260" t="s">
        <v>214</v>
      </c>
      <c r="F16" s="260"/>
      <c r="G16" s="260">
        <v>0</v>
      </c>
      <c r="H16" s="260">
        <f t="shared" si="0"/>
        <v>0</v>
      </c>
      <c r="I16" s="46"/>
      <c r="J16" s="260"/>
      <c r="K16" s="46"/>
      <c r="L16" s="260"/>
      <c r="M16" s="260"/>
      <c r="N16" s="260"/>
      <c r="O16" s="260"/>
      <c r="P16" s="47">
        <f t="shared" si="1"/>
        <v>0</v>
      </c>
    </row>
    <row r="17" s="5" customFormat="1" hidden="1" spans="1:16">
      <c r="A17" s="199"/>
      <c r="B17" s="24"/>
      <c r="C17" s="25" t="s">
        <v>82</v>
      </c>
      <c r="D17" s="21"/>
      <c r="E17" s="260"/>
      <c r="F17" s="260">
        <v>0</v>
      </c>
      <c r="G17" s="260">
        <v>0</v>
      </c>
      <c r="H17" s="260">
        <f t="shared" si="0"/>
        <v>0</v>
      </c>
      <c r="I17" s="46"/>
      <c r="J17" s="260"/>
      <c r="K17" s="46"/>
      <c r="L17" s="260"/>
      <c r="M17" s="260"/>
      <c r="N17" s="260"/>
      <c r="O17" s="260"/>
      <c r="P17" s="47">
        <f t="shared" si="1"/>
        <v>0</v>
      </c>
    </row>
    <row r="18" s="5" customFormat="1" hidden="1" spans="1:16">
      <c r="A18" s="199"/>
      <c r="B18" s="23"/>
      <c r="C18" s="92" t="s">
        <v>212</v>
      </c>
      <c r="D18" s="21">
        <v>4452.6</v>
      </c>
      <c r="E18" s="260">
        <v>10000</v>
      </c>
      <c r="F18" s="260">
        <v>51926.58</v>
      </c>
      <c r="G18" s="260">
        <v>166428.04</v>
      </c>
      <c r="H18" s="260">
        <f t="shared" si="0"/>
        <v>11.450146</v>
      </c>
      <c r="I18" s="46"/>
      <c r="J18" s="260"/>
      <c r="K18" s="46"/>
      <c r="L18" s="260"/>
      <c r="M18" s="260"/>
      <c r="N18" s="260"/>
      <c r="O18" s="260"/>
      <c r="P18" s="47">
        <f t="shared" si="1"/>
        <v>232818.670146</v>
      </c>
    </row>
    <row r="19" s="5" customFormat="1" hidden="1" spans="1:16">
      <c r="A19" s="199"/>
      <c r="B19" s="26" t="s">
        <v>84</v>
      </c>
      <c r="C19" s="25" t="s">
        <v>84</v>
      </c>
      <c r="D19" s="21">
        <v>43144</v>
      </c>
      <c r="E19" s="260">
        <v>61718</v>
      </c>
      <c r="F19" s="260">
        <v>51872</v>
      </c>
      <c r="G19" s="260">
        <v>44430</v>
      </c>
      <c r="H19" s="260">
        <f t="shared" si="0"/>
        <v>-0.7442</v>
      </c>
      <c r="I19" s="46"/>
      <c r="J19" s="260"/>
      <c r="K19" s="46"/>
      <c r="L19" s="260"/>
      <c r="M19" s="260"/>
      <c r="N19" s="260"/>
      <c r="O19" s="260"/>
      <c r="P19" s="47">
        <f t="shared" si="1"/>
        <v>201163.2558</v>
      </c>
    </row>
    <row r="20" s="5" customFormat="1" hidden="1" spans="1:16">
      <c r="A20" s="199"/>
      <c r="B20" s="19" t="s">
        <v>85</v>
      </c>
      <c r="C20" s="20" t="s">
        <v>85</v>
      </c>
      <c r="D20" s="21">
        <v>209163.8</v>
      </c>
      <c r="E20" s="260">
        <v>167840.62</v>
      </c>
      <c r="F20" s="260">
        <v>166999.36</v>
      </c>
      <c r="G20" s="260">
        <v>160247.66</v>
      </c>
      <c r="H20" s="260">
        <f t="shared" si="0"/>
        <v>-0.675169999999998</v>
      </c>
      <c r="I20" s="46"/>
      <c r="J20" s="260"/>
      <c r="K20" s="46"/>
      <c r="L20" s="260"/>
      <c r="M20" s="260"/>
      <c r="N20" s="260"/>
      <c r="O20" s="260"/>
      <c r="P20" s="47">
        <f t="shared" si="1"/>
        <v>704250.76483</v>
      </c>
    </row>
    <row r="21" s="5" customFormat="1" hidden="1" spans="1:16">
      <c r="A21" s="199"/>
      <c r="B21" s="19" t="s">
        <v>86</v>
      </c>
      <c r="C21" s="20" t="s">
        <v>86</v>
      </c>
      <c r="D21" s="21">
        <v>3228.21</v>
      </c>
      <c r="E21" s="260" t="s">
        <v>214</v>
      </c>
      <c r="F21" s="260">
        <v>13936</v>
      </c>
      <c r="G21" s="260">
        <v>4183.61</v>
      </c>
      <c r="H21" s="260">
        <f t="shared" si="0"/>
        <v>-0.975239</v>
      </c>
      <c r="I21" s="46"/>
      <c r="J21" s="260"/>
      <c r="K21" s="46"/>
      <c r="L21" s="260"/>
      <c r="M21" s="260"/>
      <c r="N21" s="260"/>
      <c r="O21" s="260"/>
      <c r="P21" s="47">
        <f t="shared" si="1"/>
        <v>21346.844761</v>
      </c>
    </row>
    <row r="22" s="5" customFormat="1" hidden="1" spans="1:16">
      <c r="A22" s="199"/>
      <c r="B22" s="19" t="s">
        <v>87</v>
      </c>
      <c r="C22" s="25" t="s">
        <v>88</v>
      </c>
      <c r="D22" s="21">
        <v>80168.79</v>
      </c>
      <c r="E22" s="260">
        <v>113818.07</v>
      </c>
      <c r="F22" s="260">
        <v>-46952.41</v>
      </c>
      <c r="G22" s="260">
        <v>41652.31</v>
      </c>
      <c r="H22" s="260">
        <f t="shared" si="0"/>
        <v>8.860472</v>
      </c>
      <c r="I22" s="46"/>
      <c r="J22" s="260"/>
      <c r="K22" s="46"/>
      <c r="L22" s="260"/>
      <c r="M22" s="260"/>
      <c r="N22" s="260"/>
      <c r="O22" s="260"/>
      <c r="P22" s="47">
        <f t="shared" si="1"/>
        <v>188695.620472</v>
      </c>
    </row>
    <row r="23" s="5" customFormat="1" hidden="1" spans="1:16">
      <c r="A23" s="199"/>
      <c r="B23" s="24"/>
      <c r="C23" s="25" t="s">
        <v>89</v>
      </c>
      <c r="D23" s="21">
        <v>2488.76</v>
      </c>
      <c r="E23" s="260">
        <v>3582.93</v>
      </c>
      <c r="F23" s="260">
        <v>24.64</v>
      </c>
      <c r="G23" s="260">
        <v>-1302.22</v>
      </c>
      <c r="H23" s="260">
        <f t="shared" si="0"/>
        <v>-0.132686</v>
      </c>
      <c r="I23" s="46"/>
      <c r="J23" s="260"/>
      <c r="K23" s="46"/>
      <c r="L23" s="260"/>
      <c r="M23" s="260"/>
      <c r="N23" s="260"/>
      <c r="O23" s="260"/>
      <c r="P23" s="47">
        <f t="shared" si="1"/>
        <v>4793.977314</v>
      </c>
    </row>
    <row r="24" s="5" customFormat="1" hidden="1" spans="1:16">
      <c r="A24" s="199"/>
      <c r="B24" s="24"/>
      <c r="C24" s="25" t="s">
        <v>90</v>
      </c>
      <c r="D24" s="21">
        <v>2443.97</v>
      </c>
      <c r="E24" s="260">
        <v>3504.17</v>
      </c>
      <c r="F24" s="260">
        <v>-637.6</v>
      </c>
      <c r="G24" s="260">
        <v>1629.25</v>
      </c>
      <c r="H24" s="260">
        <f t="shared" si="0"/>
        <v>0.226685</v>
      </c>
      <c r="I24" s="46"/>
      <c r="J24" s="260"/>
      <c r="K24" s="46"/>
      <c r="L24" s="260"/>
      <c r="M24" s="260"/>
      <c r="N24" s="260"/>
      <c r="O24" s="260"/>
      <c r="P24" s="47">
        <f t="shared" si="1"/>
        <v>6940.016685</v>
      </c>
    </row>
    <row r="25" s="5" customFormat="1" hidden="1" spans="1:16">
      <c r="A25" s="199"/>
      <c r="B25" s="24"/>
      <c r="C25" s="25" t="s">
        <v>91</v>
      </c>
      <c r="D25" s="21">
        <v>42787.77</v>
      </c>
      <c r="E25" s="260">
        <v>56940.12</v>
      </c>
      <c r="F25" s="260">
        <v>47346.11</v>
      </c>
      <c r="G25" s="260">
        <v>3335.31</v>
      </c>
      <c r="H25" s="260">
        <f t="shared" si="0"/>
        <v>-4.40108</v>
      </c>
      <c r="I25" s="46"/>
      <c r="J25" s="260"/>
      <c r="K25" s="46"/>
      <c r="L25" s="260"/>
      <c r="M25" s="260"/>
      <c r="N25" s="260"/>
      <c r="O25" s="260"/>
      <c r="P25" s="47">
        <f t="shared" si="1"/>
        <v>150404.90892</v>
      </c>
    </row>
    <row r="26" s="5" customFormat="1" hidden="1" spans="1:16">
      <c r="A26" s="199"/>
      <c r="B26" s="23"/>
      <c r="C26" s="25" t="s">
        <v>92</v>
      </c>
      <c r="D26" s="21">
        <v>5503.94</v>
      </c>
      <c r="E26" s="260">
        <v>7369.01</v>
      </c>
      <c r="F26" s="260">
        <v>6124.61</v>
      </c>
      <c r="G26" s="260">
        <v>166.8</v>
      </c>
      <c r="H26" s="260">
        <f t="shared" si="0"/>
        <v>-0.595781</v>
      </c>
      <c r="I26" s="46"/>
      <c r="J26" s="260"/>
      <c r="K26" s="46"/>
      <c r="L26" s="260"/>
      <c r="M26" s="260"/>
      <c r="N26" s="260"/>
      <c r="O26" s="260"/>
      <c r="P26" s="47">
        <f t="shared" si="1"/>
        <v>19163.764219</v>
      </c>
    </row>
    <row r="27" s="5" customFormat="1" hidden="1" spans="1:16">
      <c r="A27" s="200"/>
      <c r="B27" s="19" t="s">
        <v>93</v>
      </c>
      <c r="C27" s="20" t="s">
        <v>93</v>
      </c>
      <c r="D27" s="21"/>
      <c r="E27" s="260"/>
      <c r="F27" s="260">
        <v>0</v>
      </c>
      <c r="G27" s="260">
        <v>22469.08</v>
      </c>
      <c r="H27" s="260">
        <f t="shared" si="0"/>
        <v>2.246908</v>
      </c>
      <c r="I27" s="46"/>
      <c r="J27" s="260"/>
      <c r="K27" s="46"/>
      <c r="L27" s="260"/>
      <c r="M27" s="260"/>
      <c r="N27" s="260"/>
      <c r="O27" s="260"/>
      <c r="P27" s="47">
        <f t="shared" si="1"/>
        <v>22471.326908</v>
      </c>
    </row>
    <row r="28" s="5" customFormat="1" hidden="1" spans="1:16">
      <c r="A28" s="201" t="s">
        <v>94</v>
      </c>
      <c r="B28" s="19" t="s">
        <v>95</v>
      </c>
      <c r="C28" s="25" t="s">
        <v>96</v>
      </c>
      <c r="D28" s="21">
        <v>1501.6</v>
      </c>
      <c r="E28" s="260"/>
      <c r="F28" s="260">
        <v>751.42</v>
      </c>
      <c r="G28" s="260">
        <v>403.1</v>
      </c>
      <c r="H28" s="260">
        <f t="shared" si="0"/>
        <v>-0.034832</v>
      </c>
      <c r="I28" s="46"/>
      <c r="J28" s="260"/>
      <c r="K28" s="46"/>
      <c r="L28" s="260"/>
      <c r="M28" s="260"/>
      <c r="N28" s="260"/>
      <c r="O28" s="260"/>
      <c r="P28" s="47">
        <f t="shared" si="1"/>
        <v>2656.085168</v>
      </c>
    </row>
    <row r="29" s="5" customFormat="1" hidden="1" spans="1:16">
      <c r="A29" s="202"/>
      <c r="B29" s="23"/>
      <c r="C29" s="20" t="s">
        <v>97</v>
      </c>
      <c r="D29" s="21">
        <v>380</v>
      </c>
      <c r="E29" s="260"/>
      <c r="F29" s="260">
        <v>2420.19</v>
      </c>
      <c r="G29" s="260">
        <v>20041.38</v>
      </c>
      <c r="H29" s="260">
        <f t="shared" si="0"/>
        <v>1.762119</v>
      </c>
      <c r="I29" s="46"/>
      <c r="J29" s="260"/>
      <c r="K29" s="46"/>
      <c r="L29" s="260"/>
      <c r="M29" s="260"/>
      <c r="N29" s="260"/>
      <c r="O29" s="260"/>
      <c r="P29" s="47">
        <f t="shared" si="1"/>
        <v>22843.332119</v>
      </c>
    </row>
    <row r="30" s="5" customFormat="1" hidden="1" spans="1:16">
      <c r="A30" s="202"/>
      <c r="B30" s="26" t="s">
        <v>98</v>
      </c>
      <c r="C30" s="25" t="s">
        <v>98</v>
      </c>
      <c r="D30" s="21"/>
      <c r="E30" s="260">
        <v>852.75</v>
      </c>
      <c r="F30" s="260">
        <v>36</v>
      </c>
      <c r="G30" s="260">
        <v>1850</v>
      </c>
      <c r="H30" s="260">
        <f t="shared" si="0"/>
        <v>0.1814</v>
      </c>
      <c r="I30" s="46"/>
      <c r="J30" s="260"/>
      <c r="K30" s="46"/>
      <c r="L30" s="260"/>
      <c r="M30" s="260"/>
      <c r="N30" s="260"/>
      <c r="O30" s="260"/>
      <c r="P30" s="47">
        <f t="shared" si="1"/>
        <v>2738.9314</v>
      </c>
    </row>
    <row r="31" s="5" customFormat="1" hidden="1" spans="1:16">
      <c r="A31" s="202"/>
      <c r="B31" s="19" t="s">
        <v>99</v>
      </c>
      <c r="C31" s="25" t="s">
        <v>100</v>
      </c>
      <c r="D31" s="21"/>
      <c r="E31" s="260"/>
      <c r="F31" s="260">
        <v>0</v>
      </c>
      <c r="G31" s="260">
        <v>16800</v>
      </c>
      <c r="H31" s="260">
        <f t="shared" si="0"/>
        <v>1.68</v>
      </c>
      <c r="I31" s="46"/>
      <c r="J31" s="260"/>
      <c r="K31" s="46"/>
      <c r="L31" s="260"/>
      <c r="M31" s="260"/>
      <c r="N31" s="260"/>
      <c r="O31" s="260"/>
      <c r="P31" s="47">
        <f t="shared" si="1"/>
        <v>16801.68</v>
      </c>
    </row>
    <row r="32" s="5" customFormat="1" hidden="1" spans="1:16">
      <c r="A32" s="202"/>
      <c r="B32" s="24"/>
      <c r="C32" s="25" t="s">
        <v>101</v>
      </c>
      <c r="D32" s="21"/>
      <c r="E32" s="260"/>
      <c r="F32" s="260">
        <v>0</v>
      </c>
      <c r="G32" s="260">
        <v>0</v>
      </c>
      <c r="H32" s="260">
        <f t="shared" si="0"/>
        <v>0</v>
      </c>
      <c r="I32" s="46"/>
      <c r="J32" s="260"/>
      <c r="K32" s="46"/>
      <c r="L32" s="260"/>
      <c r="M32" s="260"/>
      <c r="N32" s="260"/>
      <c r="O32" s="260"/>
      <c r="P32" s="47">
        <f t="shared" si="1"/>
        <v>0</v>
      </c>
    </row>
    <row r="33" s="5" customFormat="1" hidden="1" spans="1:16">
      <c r="A33" s="202"/>
      <c r="B33" s="23"/>
      <c r="C33" s="20" t="s">
        <v>102</v>
      </c>
      <c r="D33" s="21"/>
      <c r="E33" s="260"/>
      <c r="F33" s="260">
        <v>0</v>
      </c>
      <c r="G33" s="260">
        <v>7000</v>
      </c>
      <c r="H33" s="260">
        <f t="shared" si="0"/>
        <v>0.7</v>
      </c>
      <c r="I33" s="46"/>
      <c r="J33" s="260"/>
      <c r="K33" s="46"/>
      <c r="L33" s="260"/>
      <c r="M33" s="260"/>
      <c r="N33" s="260"/>
      <c r="O33" s="260"/>
      <c r="P33" s="47">
        <f t="shared" si="1"/>
        <v>7000.7</v>
      </c>
    </row>
    <row r="34" s="5" customFormat="1" hidden="1" spans="1:16">
      <c r="A34" s="202"/>
      <c r="B34" s="19" t="s">
        <v>103</v>
      </c>
      <c r="C34" s="25" t="s">
        <v>104</v>
      </c>
      <c r="D34" s="21">
        <v>39691.68</v>
      </c>
      <c r="E34" s="21">
        <v>3318.86</v>
      </c>
      <c r="F34" s="260">
        <v>39057.71</v>
      </c>
      <c r="G34" s="260">
        <v>31398.1</v>
      </c>
      <c r="H34" s="260">
        <f t="shared" si="0"/>
        <v>-0.765961</v>
      </c>
      <c r="I34" s="46"/>
      <c r="J34" s="260"/>
      <c r="K34" s="46"/>
      <c r="L34" s="260"/>
      <c r="M34" s="260"/>
      <c r="N34" s="260"/>
      <c r="O34" s="260"/>
      <c r="P34" s="47">
        <f t="shared" si="1"/>
        <v>113465.584039</v>
      </c>
    </row>
    <row r="35" s="5" customFormat="1" hidden="1" spans="1:16">
      <c r="A35" s="202"/>
      <c r="B35" s="23"/>
      <c r="C35" s="25" t="s">
        <v>105</v>
      </c>
      <c r="D35" s="21"/>
      <c r="E35" s="260"/>
      <c r="F35" s="260"/>
      <c r="G35" s="260">
        <v>0</v>
      </c>
      <c r="H35" s="260">
        <f t="shared" si="0"/>
        <v>0</v>
      </c>
      <c r="I35" s="46"/>
      <c r="J35" s="260"/>
      <c r="K35" s="46"/>
      <c r="L35" s="260"/>
      <c r="M35" s="260"/>
      <c r="N35" s="260"/>
      <c r="O35" s="260"/>
      <c r="P35" s="47">
        <f t="shared" si="1"/>
        <v>0</v>
      </c>
    </row>
    <row r="36" s="5" customFormat="1" hidden="1" spans="1:16">
      <c r="A36" s="202"/>
      <c r="B36" s="26" t="s">
        <v>106</v>
      </c>
      <c r="C36" s="25" t="s">
        <v>106</v>
      </c>
      <c r="D36" s="21"/>
      <c r="E36" s="260">
        <v>10700</v>
      </c>
      <c r="F36" s="260">
        <v>55643.76</v>
      </c>
      <c r="G36" s="260">
        <v>120984.56</v>
      </c>
      <c r="H36" s="260">
        <f t="shared" si="0"/>
        <v>6.53408</v>
      </c>
      <c r="I36" s="46"/>
      <c r="J36" s="260"/>
      <c r="K36" s="46"/>
      <c r="L36" s="260"/>
      <c r="M36" s="260"/>
      <c r="N36" s="260"/>
      <c r="O36" s="260"/>
      <c r="P36" s="47">
        <f t="shared" si="1"/>
        <v>187334.85408</v>
      </c>
    </row>
    <row r="37" s="5" customFormat="1" hidden="1" spans="1:16">
      <c r="A37" s="202"/>
      <c r="B37" s="26" t="s">
        <v>107</v>
      </c>
      <c r="C37" s="25" t="s">
        <v>107</v>
      </c>
      <c r="D37" s="21">
        <v>19890</v>
      </c>
      <c r="E37" s="260">
        <v>15169</v>
      </c>
      <c r="F37" s="260">
        <v>71845.45</v>
      </c>
      <c r="G37" s="260">
        <v>31320.96</v>
      </c>
      <c r="H37" s="260">
        <f t="shared" si="0"/>
        <v>-4.052449</v>
      </c>
      <c r="I37" s="46"/>
      <c r="J37" s="260"/>
      <c r="K37" s="46"/>
      <c r="L37" s="260"/>
      <c r="M37" s="260"/>
      <c r="N37" s="260"/>
      <c r="O37" s="260"/>
      <c r="P37" s="47">
        <f t="shared" si="1"/>
        <v>138221.357551</v>
      </c>
    </row>
    <row r="38" s="5" customFormat="1" hidden="1" spans="1:16">
      <c r="A38" s="202"/>
      <c r="B38" s="19" t="s">
        <v>108</v>
      </c>
      <c r="C38" s="25" t="s">
        <v>109</v>
      </c>
      <c r="D38" s="21"/>
      <c r="E38" s="260" t="s">
        <v>214</v>
      </c>
      <c r="F38" s="260">
        <v>0</v>
      </c>
      <c r="G38" s="260">
        <v>0</v>
      </c>
      <c r="H38" s="260">
        <f t="shared" si="0"/>
        <v>0</v>
      </c>
      <c r="I38" s="46"/>
      <c r="J38" s="260"/>
      <c r="K38" s="46"/>
      <c r="L38" s="260"/>
      <c r="M38" s="260"/>
      <c r="N38" s="260"/>
      <c r="O38" s="260"/>
      <c r="P38" s="47">
        <f t="shared" si="1"/>
        <v>0</v>
      </c>
    </row>
    <row r="39" s="5" customFormat="1" hidden="1" spans="1:16">
      <c r="A39" s="202"/>
      <c r="B39" s="23"/>
      <c r="C39" s="25" t="s">
        <v>110</v>
      </c>
      <c r="D39" s="21">
        <v>6162.56</v>
      </c>
      <c r="E39" s="260">
        <v>3414</v>
      </c>
      <c r="F39" s="260">
        <v>194</v>
      </c>
      <c r="G39" s="260">
        <v>-9770.56</v>
      </c>
      <c r="H39" s="260">
        <f t="shared" si="0"/>
        <v>-0.996456</v>
      </c>
      <c r="I39" s="46"/>
      <c r="J39" s="260"/>
      <c r="K39" s="46"/>
      <c r="L39" s="260"/>
      <c r="M39" s="260"/>
      <c r="N39" s="260"/>
      <c r="O39" s="260"/>
      <c r="P39" s="47">
        <f t="shared" si="1"/>
        <v>-0.996455999998181</v>
      </c>
    </row>
    <row r="40" s="5" customFormat="1" hidden="1" spans="1:16">
      <c r="A40" s="203"/>
      <c r="B40" s="26" t="s">
        <v>111</v>
      </c>
      <c r="C40" s="25" t="s">
        <v>111</v>
      </c>
      <c r="D40" s="21"/>
      <c r="E40" s="260" t="s">
        <v>214</v>
      </c>
      <c r="F40" s="260">
        <v>15379</v>
      </c>
      <c r="G40" s="260">
        <v>20964</v>
      </c>
      <c r="H40" s="260">
        <f t="shared" si="0"/>
        <v>0.5585</v>
      </c>
      <c r="I40" s="46"/>
      <c r="J40" s="260"/>
      <c r="K40" s="46"/>
      <c r="L40" s="260"/>
      <c r="M40" s="260"/>
      <c r="N40" s="260"/>
      <c r="O40" s="260"/>
      <c r="P40" s="47">
        <f t="shared" si="1"/>
        <v>36343.5585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>
        <v>-4433.53</v>
      </c>
      <c r="E41" s="260">
        <v>45428.74</v>
      </c>
      <c r="F41" s="260">
        <v>151036.78</v>
      </c>
      <c r="G41" s="260">
        <v>472894.58</v>
      </c>
      <c r="H41" s="316">
        <f t="shared" si="0"/>
        <v>32.18578</v>
      </c>
      <c r="I41" s="46"/>
      <c r="J41" s="260"/>
      <c r="K41" s="46"/>
      <c r="L41" s="260"/>
      <c r="M41" s="260"/>
      <c r="N41" s="260"/>
      <c r="O41" s="260"/>
      <c r="P41" s="47">
        <f t="shared" si="1"/>
        <v>664958.75578</v>
      </c>
    </row>
    <row r="42" s="5" customFormat="1" hidden="1" spans="1:16">
      <c r="A42" s="205"/>
      <c r="B42" s="19" t="s">
        <v>114</v>
      </c>
      <c r="C42" s="206" t="s">
        <v>114</v>
      </c>
      <c r="D42" s="21">
        <v>8728.2</v>
      </c>
      <c r="E42" s="260">
        <v>41005.09</v>
      </c>
      <c r="F42" s="260">
        <v>68252.65</v>
      </c>
      <c r="G42" s="260">
        <v>2162.65</v>
      </c>
      <c r="H42" s="260">
        <f t="shared" si="0"/>
        <v>-6.609</v>
      </c>
      <c r="I42" s="46"/>
      <c r="J42" s="260"/>
      <c r="K42" s="46"/>
      <c r="L42" s="260"/>
      <c r="M42" s="260"/>
      <c r="N42" s="260"/>
      <c r="O42" s="260"/>
      <c r="P42" s="47">
        <f t="shared" si="1"/>
        <v>120141.981</v>
      </c>
    </row>
    <row r="43" s="5" customFormat="1" hidden="1" spans="1:16">
      <c r="A43" s="205"/>
      <c r="B43" s="19" t="s">
        <v>115</v>
      </c>
      <c r="C43" s="206" t="s">
        <v>115</v>
      </c>
      <c r="D43" s="21"/>
      <c r="E43" s="260">
        <v>44485.44</v>
      </c>
      <c r="F43" s="260">
        <v>25874.33</v>
      </c>
      <c r="G43" s="260">
        <v>1888</v>
      </c>
      <c r="H43" s="260">
        <f t="shared" si="0"/>
        <v>-2.398633</v>
      </c>
      <c r="I43" s="46"/>
      <c r="J43" s="260"/>
      <c r="K43" s="46"/>
      <c r="L43" s="260"/>
      <c r="M43" s="260"/>
      <c r="N43" s="260"/>
      <c r="O43" s="260"/>
      <c r="P43" s="47">
        <f t="shared" si="1"/>
        <v>72245.371367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>
        <v>0</v>
      </c>
      <c r="G44" s="260">
        <v>665935.43</v>
      </c>
      <c r="H44" s="316">
        <f t="shared" si="0"/>
        <v>66.593543</v>
      </c>
      <c r="I44" s="46"/>
      <c r="J44" s="260"/>
      <c r="K44" s="46"/>
      <c r="L44" s="260"/>
      <c r="M44" s="260"/>
      <c r="N44" s="260"/>
      <c r="O44" s="260"/>
      <c r="P44" s="47">
        <f t="shared" si="1"/>
        <v>666002.023543</v>
      </c>
    </row>
    <row r="45" s="5" customFormat="1" hidden="1" spans="1:16">
      <c r="A45" s="205"/>
      <c r="B45" s="23"/>
      <c r="C45" s="206" t="s">
        <v>118</v>
      </c>
      <c r="D45" s="21"/>
      <c r="E45" s="260"/>
      <c r="F45" s="260">
        <v>0</v>
      </c>
      <c r="G45" s="260">
        <v>0</v>
      </c>
      <c r="H45" s="260">
        <f t="shared" si="0"/>
        <v>0</v>
      </c>
      <c r="I45" s="46"/>
      <c r="J45" s="260"/>
      <c r="K45" s="46"/>
      <c r="L45" s="260"/>
      <c r="M45" s="260"/>
      <c r="N45" s="260"/>
      <c r="O45" s="260"/>
      <c r="P45" s="47">
        <f t="shared" si="1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525482.410000001</v>
      </c>
      <c r="E46" s="260">
        <v>792243.38</v>
      </c>
      <c r="F46" s="260">
        <v>226375.979999999</v>
      </c>
      <c r="G46" s="260">
        <v>1366482.59</v>
      </c>
      <c r="H46" s="316">
        <f t="shared" si="0"/>
        <v>114.010661</v>
      </c>
      <c r="I46" s="46"/>
      <c r="J46" s="260"/>
      <c r="K46" s="46"/>
      <c r="L46" s="260"/>
      <c r="M46" s="260"/>
      <c r="N46" s="260"/>
      <c r="O46" s="260"/>
      <c r="P46" s="47">
        <f t="shared" si="1"/>
        <v>2910698.370661</v>
      </c>
    </row>
    <row r="47" s="5" customFormat="1" hidden="1" spans="1:16">
      <c r="A47" s="205"/>
      <c r="B47" s="26" t="s">
        <v>120</v>
      </c>
      <c r="C47" s="207" t="s">
        <v>120</v>
      </c>
      <c r="D47" s="21">
        <v>170881.81</v>
      </c>
      <c r="E47" s="260">
        <v>170881.81</v>
      </c>
      <c r="F47" s="260">
        <v>363283.71</v>
      </c>
      <c r="G47" s="260">
        <v>178625.42</v>
      </c>
      <c r="H47" s="260">
        <f t="shared" si="0"/>
        <v>-18.465829</v>
      </c>
      <c r="I47" s="46"/>
      <c r="J47" s="260"/>
      <c r="K47" s="46"/>
      <c r="L47" s="260"/>
      <c r="M47" s="260"/>
      <c r="N47" s="260"/>
      <c r="O47" s="260"/>
      <c r="P47" s="47">
        <f t="shared" si="1"/>
        <v>883654.284171</v>
      </c>
    </row>
    <row r="48" s="189" customFormat="1" hidden="1" spans="1:16">
      <c r="A48" s="208"/>
      <c r="B48" s="34" t="s">
        <v>121</v>
      </c>
      <c r="C48" s="209" t="s">
        <v>121</v>
      </c>
      <c r="D48" s="21"/>
      <c r="E48" s="260"/>
      <c r="F48" s="260">
        <v>33486.23</v>
      </c>
      <c r="G48" s="260">
        <v>23160</v>
      </c>
      <c r="H48" s="260">
        <f t="shared" si="0"/>
        <v>-1.032623</v>
      </c>
      <c r="I48" s="46"/>
      <c r="J48" s="307"/>
      <c r="K48" s="46"/>
      <c r="L48" s="307"/>
      <c r="M48" s="307"/>
      <c r="N48" s="307"/>
      <c r="O48" s="307"/>
      <c r="P48" s="47">
        <f t="shared" si="1"/>
        <v>56645.197377</v>
      </c>
    </row>
    <row r="49" s="5" customFormat="1" hidden="1" spans="1:16">
      <c r="A49" s="210" t="s">
        <v>122</v>
      </c>
      <c r="B49" s="37" t="s">
        <v>123</v>
      </c>
      <c r="C49" s="207" t="s">
        <v>124</v>
      </c>
      <c r="D49" s="21"/>
      <c r="E49" s="260">
        <v>504921.02</v>
      </c>
      <c r="F49" s="260">
        <v>4371.88</v>
      </c>
      <c r="G49" s="260">
        <v>2764.98</v>
      </c>
      <c r="H49" s="260">
        <f t="shared" si="0"/>
        <v>-0.16069</v>
      </c>
      <c r="I49" s="46"/>
      <c r="J49" s="260"/>
      <c r="K49" s="46"/>
      <c r="L49" s="260"/>
      <c r="M49" s="260"/>
      <c r="N49" s="260"/>
      <c r="O49" s="260"/>
      <c r="P49" s="47">
        <f t="shared" si="1"/>
        <v>512057.71931</v>
      </c>
    </row>
    <row r="50" s="5" customFormat="1" hidden="1" spans="1:16">
      <c r="A50" s="211"/>
      <c r="B50" s="38"/>
      <c r="C50" s="207" t="s">
        <v>125</v>
      </c>
      <c r="D50" s="21"/>
      <c r="E50" s="260"/>
      <c r="F50" s="260">
        <v>0</v>
      </c>
      <c r="G50" s="260">
        <v>0</v>
      </c>
      <c r="H50" s="260">
        <f t="shared" si="0"/>
        <v>0</v>
      </c>
      <c r="I50" s="46"/>
      <c r="J50" s="260"/>
      <c r="K50" s="46"/>
      <c r="L50" s="260"/>
      <c r="M50" s="260"/>
      <c r="N50" s="260"/>
      <c r="O50" s="260"/>
      <c r="P50" s="47">
        <f t="shared" si="1"/>
        <v>0</v>
      </c>
    </row>
    <row r="51" s="5" customFormat="1" hidden="1" spans="1:16">
      <c r="A51" s="211"/>
      <c r="B51" s="39"/>
      <c r="C51" s="207" t="s">
        <v>83</v>
      </c>
      <c r="D51" s="21"/>
      <c r="E51" s="260"/>
      <c r="F51" s="260"/>
      <c r="G51" s="260">
        <v>0</v>
      </c>
      <c r="H51" s="260">
        <f t="shared" si="0"/>
        <v>0</v>
      </c>
      <c r="I51" s="46"/>
      <c r="J51" s="260"/>
      <c r="K51" s="46"/>
      <c r="L51" s="260"/>
      <c r="M51" s="260"/>
      <c r="N51" s="260"/>
      <c r="O51" s="260"/>
      <c r="P51" s="47">
        <f t="shared" si="1"/>
        <v>0</v>
      </c>
    </row>
    <row r="52" s="5" customFormat="1" hidden="1" spans="1:16">
      <c r="A52" s="211"/>
      <c r="B52" s="19" t="s">
        <v>126</v>
      </c>
      <c r="C52" s="207" t="s">
        <v>127</v>
      </c>
      <c r="D52" s="21">
        <v>30.4400000000005</v>
      </c>
      <c r="E52" s="21"/>
      <c r="F52" s="260"/>
      <c r="G52" s="260">
        <v>0</v>
      </c>
      <c r="H52" s="260">
        <f t="shared" si="0"/>
        <v>0</v>
      </c>
      <c r="I52" s="46"/>
      <c r="J52" s="260"/>
      <c r="K52" s="46"/>
      <c r="L52" s="260"/>
      <c r="M52" s="260"/>
      <c r="N52" s="260"/>
      <c r="O52" s="260"/>
      <c r="P52" s="47">
        <f t="shared" si="1"/>
        <v>30.4400000000005</v>
      </c>
    </row>
    <row r="53" s="5" customFormat="1" hidden="1" spans="1:16">
      <c r="A53" s="211"/>
      <c r="B53" s="24"/>
      <c r="C53" s="207" t="s">
        <v>128</v>
      </c>
      <c r="D53" s="21">
        <v>400</v>
      </c>
      <c r="E53" s="21">
        <v>3300</v>
      </c>
      <c r="F53" s="260">
        <v>70754.72</v>
      </c>
      <c r="G53" s="260">
        <v>43524.14</v>
      </c>
      <c r="H53" s="260">
        <f t="shared" si="0"/>
        <v>-2.723058</v>
      </c>
      <c r="I53" s="46"/>
      <c r="J53" s="260"/>
      <c r="K53" s="46"/>
      <c r="L53" s="260"/>
      <c r="M53" s="260"/>
      <c r="N53" s="260"/>
      <c r="O53" s="260"/>
      <c r="P53" s="47">
        <f t="shared" si="1"/>
        <v>117976.136942</v>
      </c>
    </row>
    <row r="54" s="5" customFormat="1" hidden="1" spans="1:16">
      <c r="A54" s="211"/>
      <c r="B54" s="23"/>
      <c r="C54" s="207" t="s">
        <v>83</v>
      </c>
      <c r="D54" s="21"/>
      <c r="E54" s="260"/>
      <c r="F54" s="260"/>
      <c r="G54" s="260">
        <v>0</v>
      </c>
      <c r="H54" s="260">
        <f t="shared" si="0"/>
        <v>0</v>
      </c>
      <c r="I54" s="46"/>
      <c r="J54" s="260"/>
      <c r="K54" s="46"/>
      <c r="L54" s="260"/>
      <c r="M54" s="260"/>
      <c r="N54" s="260"/>
      <c r="O54" s="260"/>
      <c r="P54" s="47">
        <f t="shared" si="1"/>
        <v>0</v>
      </c>
    </row>
    <row r="55" s="5" customFormat="1" hidden="1" spans="1:16">
      <c r="A55" s="211"/>
      <c r="B55" s="40" t="s">
        <v>129</v>
      </c>
      <c r="C55" s="207" t="s">
        <v>129</v>
      </c>
      <c r="D55" s="21"/>
      <c r="E55" s="260"/>
      <c r="F55" s="260">
        <v>0</v>
      </c>
      <c r="G55" s="260">
        <v>0</v>
      </c>
      <c r="H55" s="260">
        <f t="shared" si="0"/>
        <v>0</v>
      </c>
      <c r="I55" s="46"/>
      <c r="J55" s="260"/>
      <c r="K55" s="46"/>
      <c r="L55" s="260"/>
      <c r="M55" s="260"/>
      <c r="N55" s="260"/>
      <c r="O55" s="260"/>
      <c r="P55" s="47">
        <f t="shared" si="1"/>
        <v>0</v>
      </c>
    </row>
    <row r="56" s="5" customFormat="1" hidden="1" spans="1:16">
      <c r="A56" s="212"/>
      <c r="B56" s="40" t="s">
        <v>130</v>
      </c>
      <c r="C56" s="207" t="s">
        <v>130</v>
      </c>
      <c r="D56" s="21"/>
      <c r="E56" s="260"/>
      <c r="F56" s="260">
        <v>0</v>
      </c>
      <c r="G56" s="260">
        <v>0</v>
      </c>
      <c r="H56" s="260">
        <f t="shared" si="0"/>
        <v>0</v>
      </c>
      <c r="I56" s="46"/>
      <c r="J56" s="260"/>
      <c r="K56" s="46"/>
      <c r="L56" s="260"/>
      <c r="M56" s="260"/>
      <c r="N56" s="260"/>
      <c r="O56" s="260"/>
      <c r="P56" s="47">
        <f t="shared" si="1"/>
        <v>0</v>
      </c>
    </row>
    <row r="57" s="5" customFormat="1" hidden="1" spans="1:16">
      <c r="A57" s="213" t="s">
        <v>131</v>
      </c>
      <c r="B57" s="26" t="s">
        <v>132</v>
      </c>
      <c r="C57" s="207" t="s">
        <v>132</v>
      </c>
      <c r="D57" s="21">
        <v>571.3</v>
      </c>
      <c r="E57" s="260"/>
      <c r="F57" s="260">
        <v>30</v>
      </c>
      <c r="G57" s="260">
        <v>42240.04</v>
      </c>
      <c r="H57" s="260">
        <f t="shared" si="0"/>
        <v>4.221004</v>
      </c>
      <c r="I57" s="46"/>
      <c r="J57" s="260"/>
      <c r="K57" s="46"/>
      <c r="L57" s="260"/>
      <c r="M57" s="260"/>
      <c r="N57" s="260"/>
      <c r="O57" s="260"/>
      <c r="P57" s="47">
        <f t="shared" si="1"/>
        <v>42845.561004</v>
      </c>
    </row>
    <row r="58" s="5" customFormat="1" hidden="1" spans="1:16">
      <c r="A58" s="214"/>
      <c r="B58" s="37" t="s">
        <v>133</v>
      </c>
      <c r="C58" s="207" t="s">
        <v>133</v>
      </c>
      <c r="D58" s="21"/>
      <c r="E58" s="260"/>
      <c r="F58" s="260">
        <v>0</v>
      </c>
      <c r="G58" s="260">
        <v>0</v>
      </c>
      <c r="H58" s="260">
        <f t="shared" si="0"/>
        <v>0</v>
      </c>
      <c r="I58" s="46"/>
      <c r="J58" s="260"/>
      <c r="K58" s="46"/>
      <c r="L58" s="260"/>
      <c r="M58" s="260"/>
      <c r="N58" s="260"/>
      <c r="O58" s="260"/>
      <c r="P58" s="47">
        <f t="shared" si="1"/>
        <v>0</v>
      </c>
    </row>
    <row r="59" s="5" customFormat="1" hidden="1" spans="1:16">
      <c r="A59" s="214"/>
      <c r="B59" s="37" t="s">
        <v>134</v>
      </c>
      <c r="C59" s="207" t="s">
        <v>135</v>
      </c>
      <c r="D59" s="21"/>
      <c r="E59" s="260"/>
      <c r="F59" s="260"/>
      <c r="G59" s="260">
        <v>0</v>
      </c>
      <c r="H59" s="260">
        <f t="shared" si="0"/>
        <v>0</v>
      </c>
      <c r="I59" s="46"/>
      <c r="J59" s="260"/>
      <c r="K59" s="46"/>
      <c r="L59" s="260"/>
      <c r="M59" s="260"/>
      <c r="N59" s="260"/>
      <c r="O59" s="260"/>
      <c r="P59" s="47">
        <f t="shared" si="1"/>
        <v>0</v>
      </c>
    </row>
    <row r="60" s="5" customFormat="1" hidden="1" spans="1:16">
      <c r="A60" s="214"/>
      <c r="B60" s="39"/>
      <c r="C60" s="207" t="s">
        <v>83</v>
      </c>
      <c r="D60" s="21"/>
      <c r="E60" s="260"/>
      <c r="F60" s="260"/>
      <c r="G60" s="260">
        <v>0</v>
      </c>
      <c r="H60" s="260">
        <f t="shared" si="0"/>
        <v>0</v>
      </c>
      <c r="I60" s="46"/>
      <c r="J60" s="260"/>
      <c r="K60" s="46"/>
      <c r="L60" s="260"/>
      <c r="M60" s="260"/>
      <c r="N60" s="260"/>
      <c r="O60" s="260"/>
      <c r="P60" s="47">
        <f t="shared" si="1"/>
        <v>0</v>
      </c>
    </row>
    <row r="61" s="5" customFormat="1" hidden="1" spans="1:16">
      <c r="A61" s="214"/>
      <c r="B61" s="40" t="s">
        <v>136</v>
      </c>
      <c r="C61" s="207" t="s">
        <v>136</v>
      </c>
      <c r="D61" s="21"/>
      <c r="E61" s="260"/>
      <c r="F61" s="260">
        <v>0</v>
      </c>
      <c r="G61" s="260">
        <v>0</v>
      </c>
      <c r="H61" s="260">
        <f t="shared" si="0"/>
        <v>0</v>
      </c>
      <c r="I61" s="46"/>
      <c r="J61" s="260"/>
      <c r="K61" s="46"/>
      <c r="L61" s="260"/>
      <c r="M61" s="260"/>
      <c r="N61" s="260"/>
      <c r="O61" s="260"/>
      <c r="P61" s="47">
        <f t="shared" si="1"/>
        <v>0</v>
      </c>
    </row>
    <row r="62" s="5" customFormat="1" hidden="1" spans="1:16">
      <c r="A62" s="215"/>
      <c r="B62" s="26" t="s">
        <v>137</v>
      </c>
      <c r="C62" s="207" t="s">
        <v>137</v>
      </c>
      <c r="D62" s="21"/>
      <c r="E62" s="260"/>
      <c r="F62" s="260">
        <v>0</v>
      </c>
      <c r="G62" s="260">
        <v>0</v>
      </c>
      <c r="H62" s="260">
        <f t="shared" si="0"/>
        <v>0</v>
      </c>
      <c r="I62" s="46"/>
      <c r="J62" s="260"/>
      <c r="K62" s="46"/>
      <c r="L62" s="260"/>
      <c r="M62" s="260"/>
      <c r="N62" s="260"/>
      <c r="O62" s="260"/>
      <c r="P62" s="47">
        <f t="shared" si="1"/>
        <v>0</v>
      </c>
    </row>
    <row r="63" s="5" customFormat="1" hidden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>
        <v>0</v>
      </c>
      <c r="G63" s="260">
        <v>0</v>
      </c>
      <c r="H63" s="260">
        <f t="shared" si="0"/>
        <v>0</v>
      </c>
      <c r="I63" s="46"/>
      <c r="J63" s="260"/>
      <c r="K63" s="46"/>
      <c r="L63" s="260"/>
      <c r="M63" s="260"/>
      <c r="N63" s="260"/>
      <c r="O63" s="260"/>
      <c r="P63" s="47">
        <f t="shared" si="1"/>
        <v>0</v>
      </c>
    </row>
    <row r="64" s="5" customFormat="1" hidden="1" spans="1:16">
      <c r="A64" s="217"/>
      <c r="B64" s="43" t="s">
        <v>140</v>
      </c>
      <c r="C64" s="207" t="s">
        <v>140</v>
      </c>
      <c r="D64" s="21">
        <v>3417.83</v>
      </c>
      <c r="E64" s="260">
        <v>2023.57</v>
      </c>
      <c r="F64" s="260">
        <v>1599.14</v>
      </c>
      <c r="G64" s="260">
        <v>5441.63</v>
      </c>
      <c r="H64" s="260">
        <f t="shared" si="0"/>
        <v>0.384249</v>
      </c>
      <c r="I64" s="46"/>
      <c r="J64" s="260"/>
      <c r="K64" s="46"/>
      <c r="L64" s="260"/>
      <c r="M64" s="260"/>
      <c r="N64" s="260"/>
      <c r="O64" s="260"/>
      <c r="P64" s="47">
        <f t="shared" si="1"/>
        <v>12482.554249</v>
      </c>
    </row>
    <row r="65" s="5" customFormat="1" hidden="1" spans="1:16">
      <c r="A65" s="217"/>
      <c r="B65" s="43" t="s">
        <v>141</v>
      </c>
      <c r="C65" s="207" t="s">
        <v>141</v>
      </c>
      <c r="D65" s="21">
        <v>79397.59</v>
      </c>
      <c r="E65" s="260">
        <v>178809.11</v>
      </c>
      <c r="F65" s="260">
        <v>60053.64</v>
      </c>
      <c r="G65" s="260">
        <v>161803.87</v>
      </c>
      <c r="H65" s="260">
        <f t="shared" si="0"/>
        <v>10.175023</v>
      </c>
      <c r="I65" s="46"/>
      <c r="J65" s="260"/>
      <c r="K65" s="46"/>
      <c r="L65" s="260"/>
      <c r="M65" s="260"/>
      <c r="N65" s="260"/>
      <c r="O65" s="260"/>
      <c r="P65" s="47">
        <f t="shared" si="1"/>
        <v>480074.385023</v>
      </c>
    </row>
    <row r="66" s="5" customFormat="1" hidden="1" spans="1:16">
      <c r="A66" s="217"/>
      <c r="B66" s="43" t="s">
        <v>142</v>
      </c>
      <c r="C66" s="207" t="s">
        <v>142</v>
      </c>
      <c r="D66" s="21"/>
      <c r="E66" s="260">
        <v>-0.1</v>
      </c>
      <c r="F66" s="260">
        <v>0</v>
      </c>
      <c r="G66" s="260">
        <v>142697.47</v>
      </c>
      <c r="H66" s="260">
        <f t="shared" si="0"/>
        <v>14.269747</v>
      </c>
      <c r="I66" s="46"/>
      <c r="J66" s="260"/>
      <c r="K66" s="46"/>
      <c r="L66" s="260"/>
      <c r="M66" s="260"/>
      <c r="N66" s="260"/>
      <c r="O66" s="260"/>
      <c r="P66" s="47">
        <f t="shared" si="1"/>
        <v>142711.639747</v>
      </c>
    </row>
    <row r="67" s="5" customFormat="1" hidden="1" spans="1:16">
      <c r="A67" s="217"/>
      <c r="B67" s="43" t="s">
        <v>143</v>
      </c>
      <c r="C67" s="207" t="s">
        <v>143</v>
      </c>
      <c r="D67" s="21"/>
      <c r="E67" s="260" t="s">
        <v>214</v>
      </c>
      <c r="F67" s="260">
        <v>0</v>
      </c>
      <c r="G67" s="260">
        <v>0</v>
      </c>
      <c r="H67" s="260">
        <f t="shared" si="0"/>
        <v>0</v>
      </c>
      <c r="I67" s="46"/>
      <c r="J67" s="260"/>
      <c r="K67" s="46"/>
      <c r="L67" s="260"/>
      <c r="M67" s="260"/>
      <c r="N67" s="260"/>
      <c r="O67" s="260"/>
      <c r="P67" s="47">
        <f t="shared" si="1"/>
        <v>0</v>
      </c>
    </row>
    <row r="68" s="5" customFormat="1" hidden="1" spans="1:16">
      <c r="A68" s="217"/>
      <c r="B68" s="37" t="s">
        <v>144</v>
      </c>
      <c r="C68" s="207" t="s">
        <v>145</v>
      </c>
      <c r="D68" s="21"/>
      <c r="E68" s="260" t="s">
        <v>214</v>
      </c>
      <c r="F68" s="260">
        <v>0</v>
      </c>
      <c r="G68" s="260">
        <v>534.8</v>
      </c>
      <c r="H68" s="260">
        <f t="shared" si="0"/>
        <v>0.05348</v>
      </c>
      <c r="I68" s="46"/>
      <c r="J68" s="260"/>
      <c r="K68" s="46"/>
      <c r="L68" s="260"/>
      <c r="M68" s="260"/>
      <c r="N68" s="260"/>
      <c r="O68" s="260"/>
      <c r="P68" s="47">
        <f t="shared" si="1"/>
        <v>534.85348</v>
      </c>
    </row>
    <row r="69" s="5" customFormat="1" hidden="1" spans="1:16">
      <c r="A69" s="217"/>
      <c r="B69" s="39"/>
      <c r="C69" s="207" t="s">
        <v>146</v>
      </c>
      <c r="D69" s="21"/>
      <c r="E69" s="260">
        <v>1983.92</v>
      </c>
      <c r="F69" s="260">
        <v>0</v>
      </c>
      <c r="G69" s="260">
        <v>181651.38</v>
      </c>
      <c r="H69" s="260">
        <f t="shared" si="0"/>
        <v>18.165138</v>
      </c>
      <c r="I69" s="46"/>
      <c r="J69" s="260"/>
      <c r="K69" s="46"/>
      <c r="L69" s="260"/>
      <c r="M69" s="260"/>
      <c r="N69" s="260"/>
      <c r="O69" s="260"/>
      <c r="P69" s="47">
        <f t="shared" si="1"/>
        <v>183653.465138</v>
      </c>
    </row>
    <row r="70" s="5" customFormat="1" hidden="1" spans="1:16">
      <c r="A70" s="217"/>
      <c r="B70" s="37" t="s">
        <v>147</v>
      </c>
      <c r="C70" s="206" t="s">
        <v>147</v>
      </c>
      <c r="D70" s="21">
        <v>1493.42</v>
      </c>
      <c r="E70" s="260"/>
      <c r="F70" s="260">
        <v>3355.64</v>
      </c>
      <c r="G70" s="260">
        <v>5891.71</v>
      </c>
      <c r="H70" s="260">
        <f t="shared" si="0"/>
        <v>0.253607</v>
      </c>
      <c r="I70" s="46"/>
      <c r="J70" s="260"/>
      <c r="K70" s="46"/>
      <c r="L70" s="260"/>
      <c r="M70" s="260"/>
      <c r="N70" s="260"/>
      <c r="O70" s="260"/>
      <c r="P70" s="47">
        <f t="shared" si="1"/>
        <v>10741.023607</v>
      </c>
    </row>
    <row r="71" s="5" customFormat="1" hidden="1" spans="1:16">
      <c r="A71" s="217"/>
      <c r="B71" s="40" t="s">
        <v>148</v>
      </c>
      <c r="C71" s="207" t="s">
        <v>148</v>
      </c>
      <c r="D71" s="21"/>
      <c r="E71" s="260"/>
      <c r="F71" s="260"/>
      <c r="G71" s="260">
        <v>0</v>
      </c>
      <c r="H71" s="260">
        <f t="shared" ref="H71:H92" si="2">(G71-F71)/10000</f>
        <v>0</v>
      </c>
      <c r="I71" s="46"/>
      <c r="J71" s="260"/>
      <c r="K71" s="46"/>
      <c r="L71" s="260"/>
      <c r="M71" s="260"/>
      <c r="N71" s="260"/>
      <c r="O71" s="260"/>
      <c r="P71" s="47">
        <f t="shared" ref="P71:P92" si="3">SUM(D71:O71)</f>
        <v>0</v>
      </c>
    </row>
    <row r="72" s="5" customFormat="1" hidden="1" spans="1:16">
      <c r="A72" s="217"/>
      <c r="B72" s="40" t="s">
        <v>149</v>
      </c>
      <c r="C72" s="207" t="s">
        <v>149</v>
      </c>
      <c r="D72" s="21"/>
      <c r="E72" s="260"/>
      <c r="F72" s="260"/>
      <c r="G72" s="260">
        <v>0</v>
      </c>
      <c r="H72" s="260">
        <f t="shared" si="2"/>
        <v>0</v>
      </c>
      <c r="I72" s="46"/>
      <c r="J72" s="260"/>
      <c r="K72" s="46"/>
      <c r="L72" s="260"/>
      <c r="M72" s="260"/>
      <c r="N72" s="260"/>
      <c r="O72" s="260"/>
      <c r="P72" s="47">
        <f t="shared" si="3"/>
        <v>0</v>
      </c>
    </row>
    <row r="73" s="5" customFormat="1" hidden="1" spans="1:16">
      <c r="A73" s="217"/>
      <c r="B73" s="37" t="s">
        <v>150</v>
      </c>
      <c r="C73" s="207" t="s">
        <v>151</v>
      </c>
      <c r="D73" s="21"/>
      <c r="E73" s="260"/>
      <c r="F73" s="260"/>
      <c r="G73" s="260">
        <v>0</v>
      </c>
      <c r="H73" s="260">
        <f t="shared" si="2"/>
        <v>0</v>
      </c>
      <c r="I73" s="46"/>
      <c r="J73" s="260"/>
      <c r="K73" s="46"/>
      <c r="L73" s="260"/>
      <c r="M73" s="260"/>
      <c r="N73" s="260"/>
      <c r="O73" s="260"/>
      <c r="P73" s="47">
        <f t="shared" si="3"/>
        <v>0</v>
      </c>
    </row>
    <row r="74" s="5" customFormat="1" hidden="1" spans="1:16">
      <c r="A74" s="217"/>
      <c r="B74" s="39"/>
      <c r="C74" s="218" t="s">
        <v>152</v>
      </c>
      <c r="D74" s="21">
        <v>115.09</v>
      </c>
      <c r="E74" s="260"/>
      <c r="F74" s="260">
        <v>586.79</v>
      </c>
      <c r="G74" s="260">
        <v>0</v>
      </c>
      <c r="H74" s="260">
        <f t="shared" si="2"/>
        <v>-0.058679</v>
      </c>
      <c r="I74" s="46"/>
      <c r="J74" s="260"/>
      <c r="K74" s="46"/>
      <c r="L74" s="260"/>
      <c r="M74" s="260"/>
      <c r="N74" s="260"/>
      <c r="O74" s="260"/>
      <c r="P74" s="47">
        <f t="shared" si="3"/>
        <v>701.821321</v>
      </c>
    </row>
    <row r="75" s="5" customFormat="1" hidden="1" spans="1:16">
      <c r="A75" s="219"/>
      <c r="B75" s="40" t="s">
        <v>153</v>
      </c>
      <c r="C75" s="207" t="s">
        <v>153</v>
      </c>
      <c r="D75" s="21"/>
      <c r="E75" s="260"/>
      <c r="F75" s="260">
        <v>0</v>
      </c>
      <c r="G75" s="260">
        <v>0</v>
      </c>
      <c r="H75" s="260">
        <f t="shared" si="2"/>
        <v>0</v>
      </c>
      <c r="I75" s="46"/>
      <c r="J75" s="260"/>
      <c r="K75" s="46"/>
      <c r="L75" s="260"/>
      <c r="M75" s="260"/>
      <c r="N75" s="260"/>
      <c r="O75" s="260"/>
      <c r="P75" s="47">
        <f t="shared" si="3"/>
        <v>0</v>
      </c>
    </row>
    <row r="76" s="5" customFormat="1" hidden="1" spans="1:16">
      <c r="A76" s="220" t="s">
        <v>154</v>
      </c>
      <c r="B76" s="19" t="s">
        <v>155</v>
      </c>
      <c r="C76" s="206" t="s">
        <v>155</v>
      </c>
      <c r="D76" s="21">
        <v>6962.5</v>
      </c>
      <c r="E76" s="260">
        <v>3402</v>
      </c>
      <c r="F76" s="260">
        <v>1170</v>
      </c>
      <c r="G76" s="260">
        <v>0</v>
      </c>
      <c r="H76" s="260">
        <f t="shared" si="2"/>
        <v>-0.117</v>
      </c>
      <c r="I76" s="46"/>
      <c r="J76" s="260"/>
      <c r="K76" s="46"/>
      <c r="L76" s="260"/>
      <c r="M76" s="260"/>
      <c r="N76" s="260"/>
      <c r="O76" s="260"/>
      <c r="P76" s="47">
        <f t="shared" si="3"/>
        <v>11534.383</v>
      </c>
    </row>
    <row r="77" s="5" customFormat="1" hidden="1" spans="1:16">
      <c r="A77" s="221"/>
      <c r="B77" s="19" t="s">
        <v>156</v>
      </c>
      <c r="C77" s="207" t="s">
        <v>157</v>
      </c>
      <c r="D77" s="21"/>
      <c r="E77" s="260"/>
      <c r="F77" s="260"/>
      <c r="G77" s="260">
        <v>197409.51</v>
      </c>
      <c r="H77" s="260">
        <f t="shared" si="2"/>
        <v>19.740951</v>
      </c>
      <c r="I77" s="46"/>
      <c r="J77" s="260"/>
      <c r="K77" s="46"/>
      <c r="L77" s="260"/>
      <c r="M77" s="260"/>
      <c r="N77" s="260"/>
      <c r="O77" s="260"/>
      <c r="P77" s="47">
        <f t="shared" si="3"/>
        <v>197429.250951</v>
      </c>
    </row>
    <row r="78" s="5" customFormat="1" hidden="1" spans="1:16">
      <c r="A78" s="221"/>
      <c r="B78" s="23"/>
      <c r="C78" s="218" t="s">
        <v>158</v>
      </c>
      <c r="D78" s="21"/>
      <c r="E78" s="260">
        <v>270000</v>
      </c>
      <c r="F78" s="260"/>
      <c r="G78" s="260">
        <v>0</v>
      </c>
      <c r="H78" s="260">
        <f t="shared" si="2"/>
        <v>0</v>
      </c>
      <c r="I78" s="46"/>
      <c r="J78" s="260"/>
      <c r="K78" s="46"/>
      <c r="L78" s="260"/>
      <c r="M78" s="260"/>
      <c r="N78" s="260"/>
      <c r="O78" s="260"/>
      <c r="P78" s="47">
        <f t="shared" si="3"/>
        <v>270000</v>
      </c>
    </row>
    <row r="79" s="5" customFormat="1" hidden="1" spans="1:16">
      <c r="A79" s="222"/>
      <c r="B79" s="26" t="s">
        <v>159</v>
      </c>
      <c r="C79" s="207" t="s">
        <v>159</v>
      </c>
      <c r="D79" s="21"/>
      <c r="E79" s="260"/>
      <c r="F79" s="260">
        <v>1869.1</v>
      </c>
      <c r="G79" s="260">
        <v>195017.25</v>
      </c>
      <c r="H79" s="260">
        <f t="shared" si="2"/>
        <v>19.314815</v>
      </c>
      <c r="I79" s="46"/>
      <c r="J79" s="260"/>
      <c r="K79" s="46"/>
      <c r="L79" s="260"/>
      <c r="M79" s="260"/>
      <c r="N79" s="260"/>
      <c r="O79" s="260"/>
      <c r="P79" s="47">
        <f t="shared" si="3"/>
        <v>196905.664815</v>
      </c>
    </row>
    <row r="80" s="5" customFormat="1" hidden="1" spans="1:16">
      <c r="A80" s="223" t="s">
        <v>160</v>
      </c>
      <c r="B80" s="26" t="s">
        <v>161</v>
      </c>
      <c r="C80" s="207" t="s">
        <v>161</v>
      </c>
      <c r="D80" s="21">
        <v>13444.27</v>
      </c>
      <c r="E80" s="260">
        <v>14615.98</v>
      </c>
      <c r="F80" s="260">
        <v>50510.75</v>
      </c>
      <c r="G80" s="260">
        <v>106359.01</v>
      </c>
      <c r="H80" s="260">
        <f t="shared" si="2"/>
        <v>5.584826</v>
      </c>
      <c r="I80" s="46"/>
      <c r="J80" s="260"/>
      <c r="K80" s="46"/>
      <c r="L80" s="260"/>
      <c r="M80" s="260"/>
      <c r="N80" s="260"/>
      <c r="O80" s="260"/>
      <c r="P80" s="47">
        <f t="shared" si="3"/>
        <v>184935.594826</v>
      </c>
    </row>
    <row r="81" s="5" customFormat="1" hidden="1" spans="1:16">
      <c r="A81" s="224"/>
      <c r="B81" s="26" t="s">
        <v>162</v>
      </c>
      <c r="C81" s="25" t="s">
        <v>162</v>
      </c>
      <c r="D81" s="21">
        <v>5442.48</v>
      </c>
      <c r="E81" s="260">
        <v>106663.14</v>
      </c>
      <c r="F81" s="260">
        <v>1867.86</v>
      </c>
      <c r="G81" s="260">
        <v>4247.33</v>
      </c>
      <c r="H81" s="260">
        <f t="shared" si="2"/>
        <v>0.237947</v>
      </c>
      <c r="I81" s="46"/>
      <c r="J81" s="260"/>
      <c r="K81" s="46"/>
      <c r="L81" s="260"/>
      <c r="M81" s="260"/>
      <c r="N81" s="260"/>
      <c r="O81" s="260"/>
      <c r="P81" s="47">
        <f t="shared" si="3"/>
        <v>118221.047947</v>
      </c>
    </row>
    <row r="82" s="5" customFormat="1" hidden="1" spans="1:16">
      <c r="A82" s="224"/>
      <c r="B82" s="19" t="s">
        <v>163</v>
      </c>
      <c r="C82" s="25" t="s">
        <v>164</v>
      </c>
      <c r="D82" s="21">
        <v>8155.22</v>
      </c>
      <c r="E82" s="260" t="s">
        <v>214</v>
      </c>
      <c r="F82" s="260">
        <v>48356.72</v>
      </c>
      <c r="G82" s="260">
        <v>48600</v>
      </c>
      <c r="H82" s="260">
        <f t="shared" si="2"/>
        <v>0.0243279999999999</v>
      </c>
      <c r="I82" s="46"/>
      <c r="J82" s="260"/>
      <c r="K82" s="46"/>
      <c r="L82" s="260"/>
      <c r="M82" s="260"/>
      <c r="N82" s="260"/>
      <c r="O82" s="260"/>
      <c r="P82" s="47">
        <f t="shared" si="3"/>
        <v>105111.964328</v>
      </c>
    </row>
    <row r="83" s="5" customFormat="1" spans="1:16">
      <c r="A83" s="224"/>
      <c r="B83" s="24"/>
      <c r="C83" s="25" t="s">
        <v>165</v>
      </c>
      <c r="D83" s="21">
        <v>91125.84</v>
      </c>
      <c r="E83" s="260">
        <v>172179.82</v>
      </c>
      <c r="F83" s="260">
        <v>76916.05</v>
      </c>
      <c r="G83" s="260">
        <v>1134240.26</v>
      </c>
      <c r="H83" s="316">
        <f t="shared" si="2"/>
        <v>105.732421</v>
      </c>
      <c r="I83" s="46"/>
      <c r="J83" s="260"/>
      <c r="K83" s="46"/>
      <c r="L83" s="260"/>
      <c r="M83" s="260"/>
      <c r="N83" s="260"/>
      <c r="O83" s="260"/>
      <c r="P83" s="47">
        <f t="shared" si="3"/>
        <v>1474567.702421</v>
      </c>
    </row>
    <row r="84" s="5" customFormat="1" hidden="1" spans="1:16">
      <c r="A84" s="224"/>
      <c r="B84" s="23"/>
      <c r="C84" s="25" t="s">
        <v>166</v>
      </c>
      <c r="D84" s="21"/>
      <c r="E84" s="260"/>
      <c r="F84" s="260">
        <v>0</v>
      </c>
      <c r="G84" s="260">
        <v>0</v>
      </c>
      <c r="H84" s="260">
        <f t="shared" si="2"/>
        <v>0</v>
      </c>
      <c r="I84" s="46"/>
      <c r="J84" s="260"/>
      <c r="K84" s="46"/>
      <c r="L84" s="260"/>
      <c r="M84" s="260"/>
      <c r="N84" s="260"/>
      <c r="O84" s="260"/>
      <c r="P84" s="47">
        <f t="shared" si="3"/>
        <v>0</v>
      </c>
    </row>
    <row r="85" s="5" customFormat="1" hidden="1" spans="1:16">
      <c r="A85" s="225"/>
      <c r="B85" s="26" t="s">
        <v>167</v>
      </c>
      <c r="C85" s="207" t="s">
        <v>167</v>
      </c>
      <c r="D85" s="21"/>
      <c r="E85" s="260"/>
      <c r="F85" s="260">
        <v>0</v>
      </c>
      <c r="G85" s="260">
        <v>0</v>
      </c>
      <c r="H85" s="260">
        <f t="shared" si="2"/>
        <v>0</v>
      </c>
      <c r="I85" s="46"/>
      <c r="J85" s="260"/>
      <c r="K85" s="46"/>
      <c r="L85" s="260"/>
      <c r="M85" s="260"/>
      <c r="N85" s="260"/>
      <c r="O85" s="260"/>
      <c r="P85" s="47">
        <f t="shared" si="3"/>
        <v>0</v>
      </c>
    </row>
    <row r="86" s="5" customFormat="1" hidden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>
        <v>0</v>
      </c>
      <c r="H86" s="260">
        <f t="shared" si="2"/>
        <v>0</v>
      </c>
      <c r="I86" s="46"/>
      <c r="J86" s="260"/>
      <c r="K86" s="46"/>
      <c r="L86" s="260"/>
      <c r="M86" s="260"/>
      <c r="N86" s="260"/>
      <c r="O86" s="260"/>
      <c r="P86" s="47">
        <f t="shared" si="3"/>
        <v>0</v>
      </c>
    </row>
    <row r="87" s="5" customFormat="1" hidden="1" spans="1:16">
      <c r="A87" s="227"/>
      <c r="B87" s="26" t="s">
        <v>170</v>
      </c>
      <c r="C87" s="207" t="s">
        <v>170</v>
      </c>
      <c r="D87" s="21"/>
      <c r="E87" s="260"/>
      <c r="F87" s="260">
        <v>0</v>
      </c>
      <c r="G87" s="260">
        <v>0</v>
      </c>
      <c r="H87" s="260">
        <f t="shared" si="2"/>
        <v>0</v>
      </c>
      <c r="I87" s="46"/>
      <c r="J87" s="260"/>
      <c r="K87" s="46"/>
      <c r="L87" s="260"/>
      <c r="M87" s="260"/>
      <c r="N87" s="260"/>
      <c r="O87" s="260"/>
      <c r="P87" s="47">
        <f t="shared" si="3"/>
        <v>0</v>
      </c>
    </row>
    <row r="88" s="5" customFormat="1" hidden="1" spans="1:16">
      <c r="A88" s="227"/>
      <c r="B88" s="26" t="s">
        <v>171</v>
      </c>
      <c r="C88" s="207" t="s">
        <v>171</v>
      </c>
      <c r="D88" s="21"/>
      <c r="E88" s="260"/>
      <c r="F88" s="260">
        <v>0</v>
      </c>
      <c r="G88" s="260">
        <v>0</v>
      </c>
      <c r="H88" s="260">
        <f t="shared" si="2"/>
        <v>0</v>
      </c>
      <c r="I88" s="46"/>
      <c r="J88" s="260"/>
      <c r="K88" s="46"/>
      <c r="L88" s="260"/>
      <c r="M88" s="260"/>
      <c r="N88" s="260"/>
      <c r="O88" s="260"/>
      <c r="P88" s="47">
        <f t="shared" si="3"/>
        <v>0</v>
      </c>
    </row>
    <row r="89" s="5" customFormat="1" hidden="1" spans="1:16">
      <c r="A89" s="228"/>
      <c r="B89" s="26" t="s">
        <v>172</v>
      </c>
      <c r="C89" s="207" t="s">
        <v>172</v>
      </c>
      <c r="D89" s="21"/>
      <c r="E89" s="260"/>
      <c r="F89" s="260">
        <v>0</v>
      </c>
      <c r="G89" s="260">
        <v>0</v>
      </c>
      <c r="H89" s="260">
        <f t="shared" si="2"/>
        <v>0</v>
      </c>
      <c r="I89" s="46"/>
      <c r="J89" s="260"/>
      <c r="K89" s="46"/>
      <c r="L89" s="260"/>
      <c r="M89" s="260"/>
      <c r="N89" s="260"/>
      <c r="O89" s="260"/>
      <c r="P89" s="47">
        <f t="shared" si="3"/>
        <v>0</v>
      </c>
    </row>
    <row r="90" s="5" customFormat="1" hidden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>
        <v>0</v>
      </c>
      <c r="H90" s="260">
        <f t="shared" si="2"/>
        <v>0</v>
      </c>
      <c r="I90" s="46"/>
      <c r="J90" s="260"/>
      <c r="K90" s="46"/>
      <c r="L90" s="260"/>
      <c r="M90" s="260"/>
      <c r="N90" s="260"/>
      <c r="O90" s="260"/>
      <c r="P90" s="47">
        <f t="shared" si="3"/>
        <v>0</v>
      </c>
    </row>
    <row r="91" s="5" customFormat="1" spans="1:16">
      <c r="A91" s="230"/>
      <c r="B91" s="26" t="s">
        <v>175</v>
      </c>
      <c r="C91" s="207" t="s">
        <v>175</v>
      </c>
      <c r="D91" s="21">
        <v>4240543.1</v>
      </c>
      <c r="E91" s="260">
        <v>3066613.52</v>
      </c>
      <c r="F91" s="260">
        <v>7262681.77999999</v>
      </c>
      <c r="G91" s="260">
        <v>7776341.36999999</v>
      </c>
      <c r="H91" s="260">
        <f t="shared" si="2"/>
        <v>51.365959</v>
      </c>
      <c r="I91" s="46"/>
      <c r="J91" s="260"/>
      <c r="K91" s="46"/>
      <c r="L91" s="260"/>
      <c r="M91" s="260"/>
      <c r="N91" s="260"/>
      <c r="O91" s="260"/>
      <c r="P91" s="47">
        <f t="shared" si="3"/>
        <v>22346231.135959</v>
      </c>
    </row>
    <row r="92" s="5" customFormat="1" hidden="1" spans="1:16">
      <c r="A92" s="231"/>
      <c r="B92" s="26" t="s">
        <v>83</v>
      </c>
      <c r="C92" s="207" t="s">
        <v>83</v>
      </c>
      <c r="D92" s="21">
        <f>69050+8525.20999999999</f>
        <v>77575.21</v>
      </c>
      <c r="E92" s="260">
        <v>8525.21</v>
      </c>
      <c r="F92" s="260">
        <f>8525.21+800</f>
        <v>9325.21</v>
      </c>
      <c r="G92" s="87">
        <v>244670.5</v>
      </c>
      <c r="H92" s="260">
        <f t="shared" si="2"/>
        <v>23.534529</v>
      </c>
      <c r="I92" s="46"/>
      <c r="J92" s="260"/>
      <c r="K92" s="46"/>
      <c r="L92" s="260"/>
      <c r="M92" s="260"/>
      <c r="N92" s="260"/>
      <c r="O92" s="260"/>
      <c r="P92" s="47">
        <f t="shared" si="3"/>
        <v>340119.664529</v>
      </c>
    </row>
    <row r="93" s="6" customFormat="1" ht="15.75" spans="1:16">
      <c r="A93" s="232" t="s">
        <v>12</v>
      </c>
      <c r="B93" s="234"/>
      <c r="C93" s="308"/>
      <c r="D93" s="58">
        <f>SUM(D6:D92)</f>
        <v>7131111.11</v>
      </c>
      <c r="E93" s="58">
        <f t="shared" ref="E93:P93" si="4">SUM(E6:E92)</f>
        <v>7691542.77</v>
      </c>
      <c r="F93" s="58">
        <f t="shared" si="4"/>
        <v>10989096.84</v>
      </c>
      <c r="G93" s="58">
        <f t="shared" si="4"/>
        <v>15242894.55</v>
      </c>
      <c r="H93" s="58">
        <f t="shared" si="4"/>
        <v>425.379771</v>
      </c>
      <c r="I93" s="58">
        <f t="shared" si="4"/>
        <v>0</v>
      </c>
      <c r="J93" s="58">
        <f t="shared" si="4"/>
        <v>0</v>
      </c>
      <c r="K93" s="74">
        <f t="shared" ref="K93" si="5">SUM(K6:K92)</f>
        <v>0</v>
      </c>
      <c r="L93" s="58">
        <f t="shared" si="4"/>
        <v>0</v>
      </c>
      <c r="M93" s="58">
        <f t="shared" si="4"/>
        <v>0</v>
      </c>
      <c r="N93" s="58">
        <f t="shared" si="4"/>
        <v>0</v>
      </c>
      <c r="O93" s="58">
        <f t="shared" si="4"/>
        <v>0</v>
      </c>
      <c r="P93" s="58">
        <f t="shared" si="4"/>
        <v>41055070.649771</v>
      </c>
    </row>
    <row r="94" s="7" customFormat="1" ht="13.5" hidden="1" spans="1:16">
      <c r="A94" s="252" t="s">
        <v>176</v>
      </c>
      <c r="B94" s="253"/>
      <c r="C94" s="254"/>
      <c r="D94" s="235">
        <f>24649.35</f>
        <v>24649.35</v>
      </c>
      <c r="E94" s="235">
        <v>416511.05</v>
      </c>
      <c r="F94" s="47">
        <v>2006574.51</v>
      </c>
      <c r="G94" s="87">
        <v>816668.96</v>
      </c>
      <c r="H94" s="236"/>
      <c r="I94" s="46"/>
      <c r="J94" s="267"/>
      <c r="K94" s="46"/>
      <c r="L94" s="236"/>
      <c r="M94" s="236"/>
      <c r="N94" s="236"/>
      <c r="O94" s="236"/>
      <c r="P94" s="47">
        <f t="shared" ref="P94:P98" si="6">SUM(D94:O94)</f>
        <v>3264403.87</v>
      </c>
    </row>
    <row r="95" s="7" customFormat="1" ht="13.5" hidden="1" spans="1:16">
      <c r="A95" s="252" t="s">
        <v>177</v>
      </c>
      <c r="B95" s="253"/>
      <c r="C95" s="254"/>
      <c r="D95" s="235"/>
      <c r="E95" s="47"/>
      <c r="F95" s="47"/>
      <c r="G95" s="247"/>
      <c r="H95" s="236"/>
      <c r="I95" s="46"/>
      <c r="J95" s="267"/>
      <c r="K95" s="46"/>
      <c r="L95" s="236"/>
      <c r="M95" s="236"/>
      <c r="N95" s="236"/>
      <c r="O95" s="236"/>
      <c r="P95" s="47">
        <f t="shared" si="6"/>
        <v>0</v>
      </c>
    </row>
    <row r="96" s="7" customFormat="1" ht="13.5" hidden="1" spans="1:16">
      <c r="A96" s="252" t="s">
        <v>178</v>
      </c>
      <c r="B96" s="253"/>
      <c r="C96" s="254"/>
      <c r="D96" s="47">
        <f>181957.53</f>
        <v>181957.53</v>
      </c>
      <c r="E96" s="47">
        <v>570384.75</v>
      </c>
      <c r="F96" s="47">
        <v>5279614.41999999</v>
      </c>
      <c r="G96" s="87">
        <v>9402237.31000002</v>
      </c>
      <c r="H96" s="236"/>
      <c r="I96" s="46"/>
      <c r="J96" s="267"/>
      <c r="K96" s="46"/>
      <c r="L96" s="236"/>
      <c r="M96" s="236"/>
      <c r="N96" s="236"/>
      <c r="O96" s="236"/>
      <c r="P96" s="47">
        <f t="shared" si="6"/>
        <v>15434194.01</v>
      </c>
    </row>
    <row r="97" s="7" customFormat="1" ht="15.75" hidden="1" spans="1:16">
      <c r="A97" s="252" t="s">
        <v>229</v>
      </c>
      <c r="B97" s="253"/>
      <c r="C97" s="254"/>
      <c r="D97" s="47">
        <v>33717.42</v>
      </c>
      <c r="E97" s="47"/>
      <c r="F97" s="47"/>
      <c r="G97" s="317"/>
      <c r="H97" s="236"/>
      <c r="I97" s="74"/>
      <c r="J97" s="267"/>
      <c r="K97" s="319"/>
      <c r="L97" s="236"/>
      <c r="M97" s="236"/>
      <c r="N97" s="236"/>
      <c r="O97" s="236"/>
      <c r="P97" s="47">
        <f t="shared" si="6"/>
        <v>33717.42</v>
      </c>
    </row>
    <row r="98" s="7" customFormat="1" ht="13.5" hidden="1" spans="1:16">
      <c r="A98" s="252" t="s">
        <v>180</v>
      </c>
      <c r="B98" s="253"/>
      <c r="C98" s="254"/>
      <c r="D98" s="47">
        <f>D93-D94-D96-D97</f>
        <v>6890786.81</v>
      </c>
      <c r="E98" s="47">
        <v>6704646.97</v>
      </c>
      <c r="F98" s="47">
        <v>3702907.91</v>
      </c>
      <c r="G98" s="318">
        <v>5023988.28000001</v>
      </c>
      <c r="H98" s="236"/>
      <c r="I98" s="74"/>
      <c r="J98" s="267"/>
      <c r="K98" s="74"/>
      <c r="L98" s="236"/>
      <c r="M98" s="236"/>
      <c r="N98" s="236"/>
      <c r="O98" s="236"/>
      <c r="P98" s="47">
        <f t="shared" si="6"/>
        <v>22322329.97</v>
      </c>
    </row>
    <row r="99" s="190" customFormat="1" ht="13.5" hidden="1" spans="1:6">
      <c r="A99" s="190" t="s">
        <v>181</v>
      </c>
      <c r="E99" s="6"/>
      <c r="F99" s="238"/>
    </row>
    <row r="100" hidden="1" spans="4:16">
      <c r="D100" s="90" t="str">
        <f t="shared" ref="D100:P100" si="7">IF(SUM(D94:D98)=D93,"ok","no")</f>
        <v>ok</v>
      </c>
      <c r="E100" s="90" t="str">
        <f t="shared" si="7"/>
        <v>ok</v>
      </c>
      <c r="F100" s="90" t="str">
        <f t="shared" si="7"/>
        <v>ok</v>
      </c>
      <c r="G100" s="90" t="str">
        <f t="shared" si="7"/>
        <v>ok</v>
      </c>
      <c r="H100" s="90" t="str">
        <f t="shared" si="7"/>
        <v>no</v>
      </c>
      <c r="I100" s="90" t="str">
        <f t="shared" si="7"/>
        <v>ok</v>
      </c>
      <c r="J100" s="90" t="str">
        <f t="shared" si="7"/>
        <v>ok</v>
      </c>
      <c r="K100" s="90" t="str">
        <f t="shared" si="7"/>
        <v>ok</v>
      </c>
      <c r="L100" s="90" t="str">
        <f t="shared" si="7"/>
        <v>ok</v>
      </c>
      <c r="M100" s="90" t="str">
        <f t="shared" si="7"/>
        <v>ok</v>
      </c>
      <c r="N100" s="90" t="str">
        <f t="shared" si="7"/>
        <v>ok</v>
      </c>
      <c r="O100" s="90" t="str">
        <f t="shared" si="7"/>
        <v>ok</v>
      </c>
      <c r="P100" s="90" t="str">
        <f t="shared" si="7"/>
        <v>no</v>
      </c>
    </row>
    <row r="101" s="6" customFormat="1" ht="12" spans="4:6">
      <c r="D101" s="259"/>
      <c r="F101" s="266"/>
    </row>
    <row r="102" spans="4:6">
      <c r="D102" s="68"/>
      <c r="F102" s="157"/>
    </row>
    <row r="103" spans="4:12">
      <c r="D103" s="68"/>
      <c r="E103" s="157"/>
      <c r="H103" s="68"/>
      <c r="L103" s="68"/>
    </row>
    <row r="104" spans="5:16">
      <c r="E104" s="80"/>
      <c r="F104" s="68"/>
      <c r="G104" s="68"/>
      <c r="H104" s="68"/>
      <c r="I104" s="68"/>
      <c r="K104" s="68"/>
      <c r="L104" s="68"/>
      <c r="M104" s="68"/>
      <c r="N104" s="68"/>
      <c r="O104" s="68"/>
      <c r="P104" s="80"/>
    </row>
    <row r="105" s="6" customFormat="1" ht="12" spans="4:16">
      <c r="D105" s="241"/>
      <c r="P105" s="101"/>
    </row>
    <row r="106" spans="6:6">
      <c r="F106" s="157"/>
    </row>
    <row r="107" spans="5:12">
      <c r="E107" s="157"/>
      <c r="H107" s="68"/>
      <c r="K107" s="68"/>
      <c r="L107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  <row r="116" spans="4:11">
      <c r="D116" s="68"/>
      <c r="E116" s="68"/>
      <c r="F116" s="68"/>
      <c r="G116" s="68"/>
      <c r="H116" s="68"/>
      <c r="I116" s="68"/>
      <c r="J116" s="68"/>
      <c r="K116" s="68"/>
    </row>
    <row r="117" spans="4:11">
      <c r="D117" s="68"/>
      <c r="E117" s="68"/>
      <c r="F117" s="68"/>
      <c r="G117" s="68"/>
      <c r="H117" s="68"/>
      <c r="I117" s="68"/>
      <c r="J117" s="68"/>
      <c r="K117" s="68"/>
    </row>
  </sheetData>
  <autoFilter ref="A5:S100">
    <filterColumn colId="7">
      <customFilters>
        <customFilter operator="greaterThan" val="30"/>
      </customFilters>
    </filterColumn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6.875" style="6" customWidth="1"/>
    <col min="6" max="6" width="15.125" style="6" customWidth="1"/>
    <col min="7" max="12" width="11.5" style="10" customWidth="1"/>
    <col min="13" max="13" width="15.125" style="10" customWidth="1"/>
    <col min="14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230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258616.9</v>
      </c>
      <c r="E6" s="260">
        <v>670903.67</v>
      </c>
      <c r="F6" s="260">
        <v>614935.48</v>
      </c>
      <c r="G6" s="260">
        <v>668036.14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2212492.19</v>
      </c>
      <c r="Q6" s="48">
        <f>P6+P7+P8+P19+P22+P23+P24+P25+P26</f>
        <v>2391602.27</v>
      </c>
      <c r="R6" s="48">
        <f>Q6</f>
        <v>2391602.27</v>
      </c>
      <c r="S6" s="5">
        <f>R6/10000</f>
        <v>239.160227</v>
      </c>
    </row>
    <row r="7" s="5" customFormat="1" spans="1:16">
      <c r="A7" s="199"/>
      <c r="B7" s="23"/>
      <c r="C7" s="20" t="s">
        <v>71</v>
      </c>
      <c r="D7" s="21">
        <v>-215468.11</v>
      </c>
      <c r="E7" s="260">
        <v>55133.78</v>
      </c>
      <c r="F7" s="260">
        <v>50013.46</v>
      </c>
      <c r="G7" s="260">
        <v>50432.29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-59888.58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>
        <v>0</v>
      </c>
      <c r="G8" s="260">
        <v>17100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17100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>
        <v>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>
        <v>0</v>
      </c>
      <c r="G10" s="260">
        <v>0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>
        <v>57295.24</v>
      </c>
      <c r="E11" s="260"/>
      <c r="F11" s="260">
        <v>0</v>
      </c>
      <c r="G11" s="260">
        <v>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57295.24</v>
      </c>
    </row>
    <row r="12" s="5" customFormat="1" spans="1:16">
      <c r="A12" s="199"/>
      <c r="B12" s="24"/>
      <c r="C12" s="20" t="s">
        <v>77</v>
      </c>
      <c r="D12" s="21"/>
      <c r="E12" s="260"/>
      <c r="F12" s="260">
        <v>0</v>
      </c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>
        <v>0</v>
      </c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>
        <v>300</v>
      </c>
      <c r="E14" s="260">
        <v>19400</v>
      </c>
      <c r="F14" s="260">
        <v>1500</v>
      </c>
      <c r="G14" s="260">
        <v>2250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23450</v>
      </c>
    </row>
    <row r="15" s="5" customFormat="1" spans="1:16">
      <c r="A15" s="199"/>
      <c r="B15" s="24"/>
      <c r="C15" s="25" t="s">
        <v>80</v>
      </c>
      <c r="D15" s="21"/>
      <c r="E15" s="260"/>
      <c r="F15" s="260">
        <v>0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92" t="s">
        <v>212</v>
      </c>
      <c r="D18" s="21"/>
      <c r="E18" s="260"/>
      <c r="F18" s="260">
        <v>1810</v>
      </c>
      <c r="G18" s="260">
        <v>1139.8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2949.8</v>
      </c>
    </row>
    <row r="19" s="5" customFormat="1" spans="1:16">
      <c r="A19" s="199"/>
      <c r="B19" s="26" t="s">
        <v>84</v>
      </c>
      <c r="C19" s="25" t="s">
        <v>84</v>
      </c>
      <c r="D19" s="21">
        <v>8380</v>
      </c>
      <c r="E19" s="260">
        <v>38592</v>
      </c>
      <c r="F19" s="260">
        <v>31702</v>
      </c>
      <c r="G19" s="260">
        <v>29447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108121</v>
      </c>
    </row>
    <row r="20" s="5" customFormat="1" spans="1:16">
      <c r="A20" s="199"/>
      <c r="B20" s="19" t="s">
        <v>85</v>
      </c>
      <c r="C20" s="20" t="s">
        <v>85</v>
      </c>
      <c r="D20" s="21">
        <v>21809.4</v>
      </c>
      <c r="E20" s="260">
        <v>13116.99</v>
      </c>
      <c r="F20" s="260">
        <v>13596.39</v>
      </c>
      <c r="G20" s="260">
        <v>-66125.58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-17602.8</v>
      </c>
    </row>
    <row r="21" s="5" customFormat="1" spans="1:16">
      <c r="A21" s="199"/>
      <c r="B21" s="19" t="s">
        <v>86</v>
      </c>
      <c r="C21" s="20" t="s">
        <v>86</v>
      </c>
      <c r="E21" s="260"/>
      <c r="F21" s="260">
        <v>0</v>
      </c>
      <c r="G21" s="260">
        <v>5880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5880</v>
      </c>
    </row>
    <row r="22" s="5" customFormat="1" spans="1:16">
      <c r="A22" s="199"/>
      <c r="B22" s="19" t="s">
        <v>87</v>
      </c>
      <c r="C22" s="25" t="s">
        <v>88</v>
      </c>
      <c r="D22" s="21">
        <v>14206.6</v>
      </c>
      <c r="E22" s="260">
        <v>77449.48</v>
      </c>
      <c r="F22" s="260">
        <v>-73283.52</v>
      </c>
      <c r="G22" s="260">
        <v>528.2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18900.76</v>
      </c>
    </row>
    <row r="23" s="5" customFormat="1" spans="1:16">
      <c r="A23" s="199"/>
      <c r="B23" s="24"/>
      <c r="C23" s="25" t="s">
        <v>89</v>
      </c>
      <c r="D23" s="21">
        <v>444.06</v>
      </c>
      <c r="E23" s="260">
        <v>2433.46</v>
      </c>
      <c r="F23" s="260">
        <v>16.61</v>
      </c>
      <c r="G23" s="260">
        <v>-2258.14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635.99</v>
      </c>
    </row>
    <row r="24" s="5" customFormat="1" spans="1:16">
      <c r="A24" s="199"/>
      <c r="B24" s="24"/>
      <c r="C24" s="25" t="s">
        <v>90</v>
      </c>
      <c r="D24" s="21">
        <v>432.59</v>
      </c>
      <c r="E24" s="260">
        <v>2427.44</v>
      </c>
      <c r="F24" s="260">
        <v>-1712.77</v>
      </c>
      <c r="G24" s="260">
        <v>527.9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1675.16</v>
      </c>
    </row>
    <row r="25" s="5" customFormat="1" spans="1:16">
      <c r="A25" s="199"/>
      <c r="B25" s="24"/>
      <c r="C25" s="25" t="s">
        <v>91</v>
      </c>
      <c r="D25" s="21">
        <v>6516.04</v>
      </c>
      <c r="E25" s="260">
        <v>45774.67</v>
      </c>
      <c r="F25" s="260">
        <v>29796.83</v>
      </c>
      <c r="G25" s="260">
        <v>37.7700000000001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82125.31</v>
      </c>
    </row>
    <row r="26" s="5" customFormat="1" spans="1:16">
      <c r="A26" s="199"/>
      <c r="B26" s="23"/>
      <c r="C26" s="25" t="s">
        <v>92</v>
      </c>
      <c r="D26" s="21">
        <v>825.47</v>
      </c>
      <c r="E26" s="260">
        <v>5896.4</v>
      </c>
      <c r="F26" s="260">
        <v>3843.14</v>
      </c>
      <c r="G26" s="260">
        <v>-124.57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10440.44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>
        <v>0</v>
      </c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>
        <v>0</v>
      </c>
      <c r="G28" s="260">
        <v>642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642</v>
      </c>
    </row>
    <row r="29" s="5" customFormat="1" spans="1:16">
      <c r="A29" s="202"/>
      <c r="B29" s="23"/>
      <c r="C29" s="20" t="s">
        <v>97</v>
      </c>
      <c r="D29" s="21"/>
      <c r="E29" s="260"/>
      <c r="F29" s="260">
        <v>552.41</v>
      </c>
      <c r="G29" s="260">
        <v>453.95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1006.36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>
        <v>0</v>
      </c>
      <c r="G30" s="260">
        <v>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>
        <v>0</v>
      </c>
      <c r="G31" s="260">
        <v>0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>
        <v>0</v>
      </c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/>
      <c r="E33" s="260"/>
      <c r="F33" s="260">
        <v>0</v>
      </c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1">
        <v>871.6</v>
      </c>
      <c r="E34" s="260">
        <v>1933.98</v>
      </c>
      <c r="F34" s="260">
        <v>45</v>
      </c>
      <c r="G34" s="260">
        <v>4043.18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6893.76</v>
      </c>
    </row>
    <row r="35" s="5" customFormat="1" spans="1:16">
      <c r="A35" s="202"/>
      <c r="B35" s="23"/>
      <c r="C35" s="25" t="s">
        <v>105</v>
      </c>
      <c r="E35" s="260"/>
      <c r="F35" s="260"/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>
        <v>400</v>
      </c>
      <c r="E36" s="260"/>
      <c r="F36" s="260">
        <v>0</v>
      </c>
      <c r="G36" s="260">
        <v>0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400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>
        <v>453.22</v>
      </c>
      <c r="G37" s="260">
        <v>1691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2144.22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>
        <v>0</v>
      </c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>
        <v>2262</v>
      </c>
      <c r="F39" s="260">
        <v>3277</v>
      </c>
      <c r="G39" s="260">
        <v>-3213.2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2325.8</v>
      </c>
    </row>
    <row r="40" s="5" customFormat="1" spans="1:16">
      <c r="A40" s="203"/>
      <c r="B40" s="26" t="s">
        <v>111</v>
      </c>
      <c r="C40" s="25" t="s">
        <v>111</v>
      </c>
      <c r="D40" s="21"/>
      <c r="E40" s="260" t="s">
        <v>231</v>
      </c>
      <c r="F40" s="260">
        <v>0</v>
      </c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>
        <v>-16987.6</v>
      </c>
      <c r="E41" s="260">
        <v>28152.11</v>
      </c>
      <c r="F41" s="260">
        <v>1000966.46</v>
      </c>
      <c r="G41" s="260">
        <v>338542.48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1350673.45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>
        <v>149.78</v>
      </c>
      <c r="F42" s="260">
        <v>403461.87</v>
      </c>
      <c r="G42" s="260">
        <v>2567.04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406178.69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>
        <v>0</v>
      </c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>
        <v>0</v>
      </c>
      <c r="G44" s="260">
        <v>205635.88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205635.88</v>
      </c>
    </row>
    <row r="45" s="5" customFormat="1" spans="1:16">
      <c r="A45" s="205"/>
      <c r="B45" s="23"/>
      <c r="C45" s="206" t="s">
        <v>118</v>
      </c>
      <c r="D45" s="21"/>
      <c r="E45" s="260"/>
      <c r="F45" s="260">
        <v>0</v>
      </c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567555.87</v>
      </c>
      <c r="E46" s="260">
        <v>2559218.07</v>
      </c>
      <c r="F46" s="260">
        <v>2539124.34</v>
      </c>
      <c r="G46" s="260">
        <v>2467411.62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8133309.9</v>
      </c>
    </row>
    <row r="47" s="5" customFormat="1" spans="1:16">
      <c r="A47" s="205"/>
      <c r="B47" s="26" t="s">
        <v>120</v>
      </c>
      <c r="C47" s="207" t="s">
        <v>120</v>
      </c>
      <c r="D47" s="21">
        <v>170898.58</v>
      </c>
      <c r="E47" s="260">
        <v>170898.59</v>
      </c>
      <c r="F47" s="260">
        <v>160356.04</v>
      </c>
      <c r="G47" s="260">
        <v>160356.06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662509.27</v>
      </c>
    </row>
    <row r="48" s="189" customFormat="1" spans="1:16">
      <c r="A48" s="208"/>
      <c r="B48" s="34" t="s">
        <v>121</v>
      </c>
      <c r="C48" s="209" t="s">
        <v>121</v>
      </c>
      <c r="D48" s="314"/>
      <c r="E48" s="260"/>
      <c r="F48" s="260">
        <v>0</v>
      </c>
      <c r="G48" s="260">
        <v>0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>
        <v>4150.75</v>
      </c>
      <c r="G49" s="260">
        <v>7232.67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11383.42</v>
      </c>
    </row>
    <row r="50" s="5" customFormat="1" spans="1:16">
      <c r="A50" s="211"/>
      <c r="B50" s="38"/>
      <c r="C50" s="207" t="s">
        <v>125</v>
      </c>
      <c r="D50" s="21"/>
      <c r="E50" s="260"/>
      <c r="F50" s="260">
        <v>0</v>
      </c>
      <c r="G50" s="260">
        <v>265.49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265.49</v>
      </c>
    </row>
    <row r="51" s="5" customFormat="1" spans="1:16">
      <c r="A51" s="211"/>
      <c r="B51" s="39"/>
      <c r="C51" s="207" t="s">
        <v>83</v>
      </c>
      <c r="D51" s="21"/>
      <c r="E51" s="260"/>
      <c r="F51" s="260">
        <v>0</v>
      </c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>
        <v>86792.45</v>
      </c>
      <c r="G53" s="260">
        <v>-5880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80912.45</v>
      </c>
    </row>
    <row r="54" s="5" customFormat="1" spans="1:16">
      <c r="A54" s="211"/>
      <c r="B54" s="23"/>
      <c r="C54" s="207" t="s">
        <v>83</v>
      </c>
      <c r="D54" s="21"/>
      <c r="E54" s="260"/>
      <c r="F54" s="260">
        <v>0</v>
      </c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>
        <v>0</v>
      </c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>
        <v>0</v>
      </c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>
        <v>0</v>
      </c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>
        <v>0</v>
      </c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>
        <v>0</v>
      </c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>
        <v>0</v>
      </c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>
        <v>0</v>
      </c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>
        <v>6481.61</v>
      </c>
      <c r="G63" s="260">
        <v>594.28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7075.89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>
        <v>21880.35</v>
      </c>
      <c r="F64" s="260">
        <v>17577</v>
      </c>
      <c r="G64" s="260">
        <v>21764.36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61221.71</v>
      </c>
    </row>
    <row r="65" s="5" customFormat="1" spans="1:16">
      <c r="A65" s="217"/>
      <c r="B65" s="43" t="s">
        <v>141</v>
      </c>
      <c r="C65" s="207" t="s">
        <v>141</v>
      </c>
      <c r="D65" s="21">
        <v>-87.12</v>
      </c>
      <c r="E65" s="260">
        <v>121854.05</v>
      </c>
      <c r="F65" s="260">
        <v>205756.09</v>
      </c>
      <c r="G65" s="260">
        <v>643818.46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971341.48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>
        <v>0</v>
      </c>
      <c r="G66" s="260">
        <v>5400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5400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>
        <v>0</v>
      </c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>
        <v>0</v>
      </c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>
        <v>0</v>
      </c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>
        <v>809.44</v>
      </c>
      <c r="E70" s="260"/>
      <c r="F70" s="260">
        <v>1160.38</v>
      </c>
      <c r="G70" s="260">
        <v>792.78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2762.6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>
        <v>0</v>
      </c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>
        <v>0</v>
      </c>
      <c r="G75" s="260">
        <v>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>
        <v>500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500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>
        <v>0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>
        <v>0</v>
      </c>
      <c r="G79" s="260">
        <v>0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>
        <v>4097.87</v>
      </c>
      <c r="E80" s="260">
        <v>8352.82</v>
      </c>
      <c r="F80" s="260">
        <v>4937.4</v>
      </c>
      <c r="G80" s="260">
        <v>25205.23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42593.32</v>
      </c>
    </row>
    <row r="81" s="5" customFormat="1" spans="1:16">
      <c r="A81" s="224"/>
      <c r="B81" s="26" t="s">
        <v>162</v>
      </c>
      <c r="C81" s="25" t="s">
        <v>162</v>
      </c>
      <c r="D81" s="21">
        <v>166.46</v>
      </c>
      <c r="E81" s="260">
        <v>221.7</v>
      </c>
      <c r="F81" s="260">
        <v>393.37</v>
      </c>
      <c r="G81" s="260">
        <v>11695.75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12477.28</v>
      </c>
    </row>
    <row r="82" s="5" customFormat="1" spans="1:16">
      <c r="A82" s="224"/>
      <c r="B82" s="19" t="s">
        <v>163</v>
      </c>
      <c r="C82" s="25" t="s">
        <v>164</v>
      </c>
      <c r="D82" s="21"/>
      <c r="E82" s="260">
        <v>1511.34</v>
      </c>
      <c r="F82" s="260">
        <v>7475.46</v>
      </c>
      <c r="G82" s="260">
        <v>3150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12136.8</v>
      </c>
    </row>
    <row r="83" s="5" customFormat="1" spans="1:16">
      <c r="A83" s="224"/>
      <c r="B83" s="24"/>
      <c r="C83" s="25" t="s">
        <v>165</v>
      </c>
      <c r="D83" s="21"/>
      <c r="E83" s="260"/>
      <c r="F83" s="260">
        <v>188.040000000001</v>
      </c>
      <c r="G83" s="260">
        <v>3155.18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3343.22</v>
      </c>
    </row>
    <row r="84" s="5" customFormat="1" spans="1:16">
      <c r="A84" s="224"/>
      <c r="B84" s="23"/>
      <c r="C84" s="25" t="s">
        <v>166</v>
      </c>
      <c r="D84" s="21"/>
      <c r="E84" s="260"/>
      <c r="F84" s="260">
        <v>0</v>
      </c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>
        <v>0</v>
      </c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>
        <v>0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>
        <v>0</v>
      </c>
      <c r="G87" s="260">
        <v>0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>
        <v>0</v>
      </c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>
        <v>0</v>
      </c>
      <c r="G89" s="260">
        <v>0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60"/>
      <c r="F91" s="260">
        <v>0</v>
      </c>
      <c r="G91" s="260">
        <v>0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>
        <v>50</v>
      </c>
      <c r="E92" s="260">
        <v>-15774.75</v>
      </c>
      <c r="F92" s="260">
        <v>5.82076609134674e-11</v>
      </c>
      <c r="G92" s="260">
        <v>1250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-14474.7499999999</v>
      </c>
    </row>
    <row r="93" s="6" customFormat="1" ht="15.75" spans="1:16">
      <c r="A93" s="232" t="s">
        <v>12</v>
      </c>
      <c r="B93" s="234"/>
      <c r="C93" s="308"/>
      <c r="D93" s="58">
        <f>SUM(D6:D92)</f>
        <v>881133.29</v>
      </c>
      <c r="E93" s="58">
        <f t="shared" ref="E93:P93" si="2">SUM(E6:E92)</f>
        <v>3831787.93</v>
      </c>
      <c r="F93" s="58">
        <f t="shared" si="2"/>
        <v>5115866.51</v>
      </c>
      <c r="G93" s="58">
        <f>SUM(G6:G92)</f>
        <v>4603445.02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14432232.75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>
        <v>0</v>
      </c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>
        <v>0</v>
      </c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>
        <f>D93</f>
        <v>881133.29</v>
      </c>
      <c r="E96" s="47">
        <f t="shared" ref="E96:O96" si="3">E93</f>
        <v>3831787.93</v>
      </c>
      <c r="F96" s="47">
        <f t="shared" si="3"/>
        <v>5115866.51</v>
      </c>
      <c r="G96" s="47">
        <f t="shared" si="3"/>
        <v>4603445.02</v>
      </c>
      <c r="H96" s="47">
        <f t="shared" si="3"/>
        <v>0</v>
      </c>
      <c r="I96" s="47">
        <f t="shared" si="3"/>
        <v>0</v>
      </c>
      <c r="J96" s="47">
        <f t="shared" si="3"/>
        <v>0</v>
      </c>
      <c r="K96" s="47">
        <f t="shared" si="3"/>
        <v>0</v>
      </c>
      <c r="L96" s="47">
        <f t="shared" si="3"/>
        <v>0</v>
      </c>
      <c r="M96" s="47">
        <f t="shared" si="3"/>
        <v>0</v>
      </c>
      <c r="N96" s="47">
        <f t="shared" si="3"/>
        <v>0</v>
      </c>
      <c r="O96" s="47">
        <f t="shared" si="3"/>
        <v>0</v>
      </c>
      <c r="P96" s="47">
        <f t="shared" si="1"/>
        <v>14432232.75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/>
      <c r="E98" s="47"/>
      <c r="F98" s="47"/>
      <c r="G98" s="236"/>
      <c r="H98" s="236"/>
      <c r="I98" s="236"/>
      <c r="J98" s="236"/>
      <c r="K98" s="236"/>
      <c r="L98" s="236"/>
      <c r="M98" s="236"/>
      <c r="N98" s="236"/>
      <c r="O98" s="236"/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4">
      <c r="D101" s="259"/>
    </row>
    <row r="102" spans="4:6">
      <c r="D102" s="68"/>
      <c r="E102" s="266"/>
      <c r="F102" s="266"/>
    </row>
    <row r="103" spans="5:16">
      <c r="E103" s="157"/>
      <c r="F103" s="157">
        <v>5115866.51</v>
      </c>
      <c r="P103" s="68"/>
    </row>
    <row r="104" spans="4:4">
      <c r="D104" s="68"/>
    </row>
    <row r="105" s="6" customFormat="1" ht="12" spans="4:13">
      <c r="D105" s="241"/>
      <c r="M105" s="10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232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v>31209.72</v>
      </c>
      <c r="E6" s="260">
        <v>35069.78</v>
      </c>
      <c r="F6" s="260">
        <v>33296</v>
      </c>
      <c r="G6" s="260">
        <v>39399.3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138974.8</v>
      </c>
      <c r="Q6" s="48">
        <f>P6+P7+P8+P19+P22+P23+P24+P25+P26</f>
        <v>579363.92</v>
      </c>
      <c r="R6" s="48">
        <f>Q6+'X-高新'!Q6+'Z-高新'!Q6+'Y-高新'!Q6</f>
        <v>579363.92</v>
      </c>
      <c r="S6" s="48">
        <f>R6/10000</f>
        <v>57.936392</v>
      </c>
    </row>
    <row r="7" s="5" customFormat="1" ht="17.25" customHeight="1" spans="1:16">
      <c r="A7" s="199"/>
      <c r="B7" s="23"/>
      <c r="C7" s="20" t="s">
        <v>71</v>
      </c>
      <c r="D7" s="21">
        <v>14567</v>
      </c>
      <c r="E7" s="260">
        <v>2635.67</v>
      </c>
      <c r="F7" s="260">
        <v>2631.83</v>
      </c>
      <c r="G7" s="260">
        <v>2852.34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22686.84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101339.62</v>
      </c>
      <c r="E8" s="260">
        <v>101339.62</v>
      </c>
      <c r="F8" s="260">
        <v>101339.62</v>
      </c>
      <c r="G8" s="260">
        <v>101339.62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405358.48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60"/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60"/>
      <c r="G10" s="260">
        <v>0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60"/>
      <c r="G11" s="260">
        <v>17800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17800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60"/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60"/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>
        <v>100</v>
      </c>
      <c r="F14" s="260"/>
      <c r="G14" s="260">
        <v>50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150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60"/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/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60"/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60"/>
      <c r="G18" s="260">
        <v>0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1771</v>
      </c>
      <c r="E19" s="260">
        <v>1771</v>
      </c>
      <c r="F19" s="260">
        <v>1771</v>
      </c>
      <c r="G19" s="260">
        <v>1771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7084</v>
      </c>
    </row>
    <row r="20" s="5" customFormat="1" ht="17.25" customHeight="1" spans="1:16">
      <c r="A20" s="199"/>
      <c r="B20" s="19" t="s">
        <v>85</v>
      </c>
      <c r="C20" s="20" t="s">
        <v>85</v>
      </c>
      <c r="D20" s="21">
        <v>20531.71</v>
      </c>
      <c r="E20" s="260">
        <v>11913.98</v>
      </c>
      <c r="F20" s="260">
        <v>13152.59</v>
      </c>
      <c r="G20" s="260">
        <v>12888.13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58486.41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60"/>
      <c r="G21" s="260">
        <v>0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1818.88</v>
      </c>
      <c r="E22" s="260">
        <v>1818.88</v>
      </c>
      <c r="F22" s="260">
        <v>-1818.88</v>
      </c>
      <c r="G22" s="260">
        <v>0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1818.88</v>
      </c>
    </row>
    <row r="23" s="5" customFormat="1" ht="17.25" customHeight="1" spans="1:16">
      <c r="A23" s="199"/>
      <c r="B23" s="24"/>
      <c r="C23" s="25" t="s">
        <v>89</v>
      </c>
      <c r="D23" s="21">
        <v>56.84</v>
      </c>
      <c r="E23" s="260">
        <v>56.84</v>
      </c>
      <c r="F23" s="260"/>
      <c r="G23" s="260">
        <v>-56.84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56.84</v>
      </c>
    </row>
    <row r="24" s="5" customFormat="1" ht="17.25" customHeight="1" spans="1:16">
      <c r="A24" s="199"/>
      <c r="B24" s="24"/>
      <c r="C24" s="25" t="s">
        <v>90</v>
      </c>
      <c r="D24" s="21">
        <v>67.16</v>
      </c>
      <c r="E24" s="260">
        <v>67.16</v>
      </c>
      <c r="F24" s="260">
        <v>-51.16</v>
      </c>
      <c r="G24" s="260">
        <v>16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99.16</v>
      </c>
    </row>
    <row r="25" s="5" customFormat="1" ht="17.25" customHeight="1" spans="1:16">
      <c r="A25" s="199"/>
      <c r="B25" s="24"/>
      <c r="C25" s="25" t="s">
        <v>91</v>
      </c>
      <c r="D25" s="21">
        <v>961.16</v>
      </c>
      <c r="E25" s="260">
        <v>961.36</v>
      </c>
      <c r="F25" s="260">
        <v>961.36</v>
      </c>
      <c r="G25" s="260">
        <v>27.76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2911.64</v>
      </c>
    </row>
    <row r="26" s="5" customFormat="1" ht="17.25" customHeight="1" spans="1:16">
      <c r="A26" s="199"/>
      <c r="B26" s="23"/>
      <c r="C26" s="25" t="s">
        <v>92</v>
      </c>
      <c r="D26" s="21">
        <v>124.44</v>
      </c>
      <c r="E26" s="260">
        <v>124.44</v>
      </c>
      <c r="F26" s="260">
        <v>124.44</v>
      </c>
      <c r="G26" s="260">
        <v>-0.04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373.28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60"/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>
        <v>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60"/>
      <c r="G29" s="260">
        <v>0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60"/>
      <c r="G30" s="260">
        <v>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60"/>
      <c r="G31" s="260">
        <v>0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60"/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60"/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124.4</v>
      </c>
      <c r="E34" s="260"/>
      <c r="F34" s="260">
        <v>1933.9</v>
      </c>
      <c r="G34" s="260">
        <v>1497.09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3555.39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60"/>
      <c r="G36" s="260">
        <v>0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1249</v>
      </c>
      <c r="E37" s="260">
        <v>420</v>
      </c>
      <c r="F37" s="260">
        <v>6080</v>
      </c>
      <c r="G37" s="260">
        <v>4085.71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11834.71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60"/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60"/>
      <c r="G39" s="260">
        <v>0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60"/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>
        <v>0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60"/>
      <c r="G42" s="260">
        <v>218.44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218.44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60"/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60"/>
      <c r="G44" s="260">
        <v>51882.59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51882.59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60"/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60"/>
      <c r="F46" s="260"/>
      <c r="G46" s="260">
        <v>0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7742.48</v>
      </c>
      <c r="E47" s="260">
        <v>7742.48</v>
      </c>
      <c r="F47" s="260">
        <v>7742.48</v>
      </c>
      <c r="G47" s="260">
        <v>7742.48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30969.92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60"/>
      <c r="G48" s="260">
        <v>0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>
        <v>0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>
        <v>87516</v>
      </c>
      <c r="E50" s="260"/>
      <c r="F50" s="260"/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87516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60"/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>
        <v>54604.31</v>
      </c>
      <c r="F53" s="260">
        <v>112114.78</v>
      </c>
      <c r="G53" s="260">
        <v>129530.97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296250.06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60"/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60"/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60"/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60"/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60"/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60"/>
      <c r="G64" s="260">
        <v>0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60"/>
      <c r="G65" s="260">
        <v>0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60"/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60"/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60"/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60"/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60"/>
      <c r="F70" s="260"/>
      <c r="G70" s="260">
        <v>0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60"/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60"/>
      <c r="G75" s="260">
        <v>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>
        <v>300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300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60"/>
      <c r="G77" s="260">
        <v>0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60"/>
      <c r="G79" s="260">
        <v>0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>
        <v>0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v>943.4</v>
      </c>
      <c r="E81" s="260"/>
      <c r="F81" s="260"/>
      <c r="G81" s="260">
        <v>0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943.4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60"/>
      <c r="G82" s="260">
        <v>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>
        <v>26681.42</v>
      </c>
      <c r="E83" s="260">
        <v>12035.4</v>
      </c>
      <c r="F83" s="260">
        <v>27920.35</v>
      </c>
      <c r="G83" s="260">
        <v>25331.86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91969.03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60"/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60"/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>
        <v>0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60"/>
      <c r="G87" s="260">
        <v>0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60"/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60"/>
      <c r="G89" s="260">
        <v>0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60"/>
      <c r="G91" s="260">
        <v>0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60"/>
      <c r="F92" s="260"/>
      <c r="G92" s="260">
        <v>0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296704.23</v>
      </c>
      <c r="E93" s="58">
        <f t="shared" ref="E93:P93" si="2">SUM(E6:E92)</f>
        <v>230660.92</v>
      </c>
      <c r="F93" s="58">
        <f t="shared" si="2"/>
        <v>307498.31</v>
      </c>
      <c r="G93" s="58">
        <f>SUM(G6:G92)</f>
        <v>396376.41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1231239.87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296704.23</v>
      </c>
      <c r="E96" s="46">
        <f t="shared" ref="E96:O96" si="3">E93</f>
        <v>230660.92</v>
      </c>
      <c r="F96" s="46">
        <f t="shared" si="3"/>
        <v>307498.31</v>
      </c>
      <c r="G96" s="46">
        <f t="shared" si="3"/>
        <v>396376.41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1231239.87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7">
        <f t="shared" si="1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 t="shared" ref="D100:P100" si="4">IF(SUM(D94:D98)=D93,"ok","no")</f>
        <v>ok</v>
      </c>
      <c r="E100" s="90" t="str">
        <f t="shared" si="4"/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4">
      <c r="D101" s="259"/>
    </row>
    <row r="102" spans="6:6">
      <c r="F102" s="266">
        <v>307498.31</v>
      </c>
    </row>
    <row r="103" spans="16:16">
      <c r="P103" s="242">
        <v>32288242.86</v>
      </c>
    </row>
    <row r="104" spans="16:16">
      <c r="P104" s="80">
        <f>P103-P93</f>
        <v>31057002.99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75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1.75" style="6" customWidth="1"/>
    <col min="6" max="6" width="12.25" style="6" customWidth="1"/>
    <col min="7" max="7" width="11.5" style="10" customWidth="1"/>
    <col min="8" max="8" width="13.875" style="10" customWidth="1"/>
    <col min="9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233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21">
        <v>12395</v>
      </c>
      <c r="E6" s="260">
        <v>27645</v>
      </c>
      <c r="F6" s="260">
        <v>20020</v>
      </c>
      <c r="G6" s="260">
        <v>20020</v>
      </c>
      <c r="H6" s="260"/>
      <c r="I6" s="260"/>
      <c r="J6" s="260"/>
      <c r="K6" s="260"/>
      <c r="L6" s="21"/>
      <c r="M6" s="260"/>
      <c r="N6" s="260"/>
      <c r="O6" s="260"/>
      <c r="P6" s="47">
        <f>SUM(D6:O6)</f>
        <v>80080</v>
      </c>
      <c r="Q6" s="48">
        <f>P6+P7+P8+P19+P22+P23+P24+P25+P26</f>
        <v>86968.7</v>
      </c>
      <c r="R6" s="48">
        <f>Q6</f>
        <v>86968.7</v>
      </c>
      <c r="S6" s="5">
        <f>R6/10000</f>
        <v>8.69687</v>
      </c>
    </row>
    <row r="7" s="5" customForma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60"/>
      <c r="K7" s="260"/>
      <c r="L7" s="21"/>
      <c r="M7" s="260"/>
      <c r="N7" s="260"/>
      <c r="O7" s="260"/>
      <c r="P7" s="47">
        <f t="shared" ref="P7:P70" si="0">SUM(D7:O7)</f>
        <v>0</v>
      </c>
    </row>
    <row r="8" s="5" customForma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1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1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1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1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1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1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1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1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1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1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1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1">
        <v>350</v>
      </c>
      <c r="E19" s="260">
        <v>350</v>
      </c>
      <c r="F19" s="260">
        <v>350</v>
      </c>
      <c r="G19" s="260">
        <v>350</v>
      </c>
      <c r="H19" s="260"/>
      <c r="I19" s="260"/>
      <c r="J19" s="260"/>
      <c r="K19" s="260"/>
      <c r="L19" s="21"/>
      <c r="M19" s="260"/>
      <c r="N19" s="260"/>
      <c r="O19" s="260"/>
      <c r="P19" s="47">
        <f t="shared" si="0"/>
        <v>1400</v>
      </c>
    </row>
    <row r="20" s="5" customForma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1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1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1">
        <v>800</v>
      </c>
      <c r="E22" s="260">
        <v>800</v>
      </c>
      <c r="F22" s="260">
        <v>800</v>
      </c>
      <c r="G22" s="260">
        <v>800</v>
      </c>
      <c r="H22" s="260"/>
      <c r="I22" s="260"/>
      <c r="J22" s="260"/>
      <c r="K22" s="260"/>
      <c r="L22" s="21"/>
      <c r="M22" s="260"/>
      <c r="N22" s="260"/>
      <c r="O22" s="260"/>
      <c r="P22" s="47">
        <f t="shared" si="0"/>
        <v>3200</v>
      </c>
    </row>
    <row r="23" s="5" customFormat="1" spans="1:16">
      <c r="A23" s="199"/>
      <c r="B23" s="24"/>
      <c r="C23" s="25" t="s">
        <v>89</v>
      </c>
      <c r="D23" s="21">
        <v>25</v>
      </c>
      <c r="E23" s="260">
        <v>25</v>
      </c>
      <c r="F23" s="260">
        <v>25</v>
      </c>
      <c r="G23" s="260">
        <v>25</v>
      </c>
      <c r="H23" s="260"/>
      <c r="I23" s="260"/>
      <c r="J23" s="260"/>
      <c r="K23" s="260"/>
      <c r="L23" s="21"/>
      <c r="M23" s="260"/>
      <c r="N23" s="260"/>
      <c r="O23" s="260"/>
      <c r="P23" s="47">
        <f t="shared" si="0"/>
        <v>100</v>
      </c>
    </row>
    <row r="24" s="5" customFormat="1" spans="1:16">
      <c r="A24" s="199"/>
      <c r="B24" s="24"/>
      <c r="C24" s="25" t="s">
        <v>90</v>
      </c>
      <c r="D24" s="21">
        <v>12.8</v>
      </c>
      <c r="E24" s="260">
        <v>12.8</v>
      </c>
      <c r="F24" s="260">
        <v>12.8</v>
      </c>
      <c r="G24" s="260">
        <v>12.8</v>
      </c>
      <c r="H24" s="260"/>
      <c r="I24" s="260"/>
      <c r="J24" s="260"/>
      <c r="K24" s="260"/>
      <c r="L24" s="21"/>
      <c r="M24" s="260"/>
      <c r="N24" s="260"/>
      <c r="O24" s="260"/>
      <c r="P24" s="47">
        <f t="shared" si="0"/>
        <v>51.2</v>
      </c>
    </row>
    <row r="25" s="5" customFormat="1" spans="1:16">
      <c r="A25" s="199"/>
      <c r="B25" s="24"/>
      <c r="C25" s="25" t="s">
        <v>91</v>
      </c>
      <c r="D25" s="21">
        <f>475+75</f>
        <v>550</v>
      </c>
      <c r="E25" s="260">
        <v>550</v>
      </c>
      <c r="F25" s="260">
        <v>550</v>
      </c>
      <c r="G25" s="260">
        <v>262.5</v>
      </c>
      <c r="H25" s="260"/>
      <c r="I25" s="260"/>
      <c r="J25" s="260"/>
      <c r="K25" s="260"/>
      <c r="L25" s="21"/>
      <c r="M25" s="260"/>
      <c r="N25" s="260"/>
      <c r="O25" s="260"/>
      <c r="P25" s="47">
        <f t="shared" si="0"/>
        <v>1912.5</v>
      </c>
    </row>
    <row r="26" s="5" customFormat="1" spans="1:16">
      <c r="A26" s="199"/>
      <c r="B26" s="23"/>
      <c r="C26" s="25" t="s">
        <v>92</v>
      </c>
      <c r="D26" s="21">
        <v>50</v>
      </c>
      <c r="E26" s="260">
        <v>50</v>
      </c>
      <c r="F26" s="260">
        <v>50</v>
      </c>
      <c r="G26" s="260">
        <v>75</v>
      </c>
      <c r="H26" s="260"/>
      <c r="I26" s="260"/>
      <c r="J26" s="260"/>
      <c r="K26" s="260"/>
      <c r="L26" s="21"/>
      <c r="M26" s="260"/>
      <c r="N26" s="260"/>
      <c r="O26" s="260"/>
      <c r="P26" s="47">
        <f t="shared" si="0"/>
        <v>225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1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1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>
        <v>600</v>
      </c>
      <c r="E29" s="260"/>
      <c r="F29" s="260">
        <v>200</v>
      </c>
      <c r="G29" s="260">
        <v>1000</v>
      </c>
      <c r="H29" s="260"/>
      <c r="I29" s="260"/>
      <c r="J29" s="260"/>
      <c r="K29" s="260"/>
      <c r="L29" s="21"/>
      <c r="M29" s="260"/>
      <c r="N29" s="260"/>
      <c r="O29" s="260"/>
      <c r="P29" s="47">
        <f t="shared" si="0"/>
        <v>1800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1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1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1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1">
        <v>800</v>
      </c>
      <c r="E33" s="260"/>
      <c r="F33" s="260">
        <v>800</v>
      </c>
      <c r="G33" s="260">
        <v>800</v>
      </c>
      <c r="H33" s="260"/>
      <c r="I33" s="260"/>
      <c r="J33" s="260"/>
      <c r="K33" s="260"/>
      <c r="L33" s="21"/>
      <c r="M33" s="260"/>
      <c r="N33" s="260"/>
      <c r="O33" s="260"/>
      <c r="P33" s="47">
        <f t="shared" si="0"/>
        <v>2400</v>
      </c>
    </row>
    <row r="34" s="5" customFormat="1" spans="1:16">
      <c r="A34" s="202"/>
      <c r="B34" s="19" t="s">
        <v>103</v>
      </c>
      <c r="C34" s="25" t="s">
        <v>104</v>
      </c>
      <c r="D34" s="21"/>
      <c r="E34" s="260"/>
      <c r="F34" s="260"/>
      <c r="G34" s="260"/>
      <c r="H34" s="260"/>
      <c r="I34" s="260"/>
      <c r="J34" s="260"/>
      <c r="K34" s="260"/>
      <c r="L34" s="21"/>
      <c r="M34" s="260"/>
      <c r="N34" s="260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1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1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1"/>
      <c r="E37" s="260"/>
      <c r="F37" s="260"/>
      <c r="G37" s="260"/>
      <c r="H37" s="260"/>
      <c r="I37" s="260"/>
      <c r="J37" s="260"/>
      <c r="K37" s="260"/>
      <c r="L37" s="21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1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1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1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1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1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1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1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1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1">
        <v>910.42</v>
      </c>
      <c r="E46" s="260">
        <v>910.42</v>
      </c>
      <c r="F46" s="260">
        <v>910.42</v>
      </c>
      <c r="G46" s="260">
        <v>910.42</v>
      </c>
      <c r="H46" s="260"/>
      <c r="I46" s="260"/>
      <c r="J46" s="260"/>
      <c r="K46" s="260"/>
      <c r="L46" s="21"/>
      <c r="M46" s="260"/>
      <c r="N46" s="260"/>
      <c r="O46" s="260"/>
      <c r="P46" s="47">
        <f t="shared" si="0"/>
        <v>3641.68</v>
      </c>
    </row>
    <row r="47" s="5" customForma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1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4"/>
      <c r="E48" s="260"/>
      <c r="F48" s="307"/>
      <c r="G48" s="307"/>
      <c r="H48" s="307"/>
      <c r="I48" s="307"/>
      <c r="J48" s="307"/>
      <c r="K48" s="307"/>
      <c r="L48" s="21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1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1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1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1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1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1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1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1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1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1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1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1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1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1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1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1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1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1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1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1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1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21"/>
      <c r="E70" s="260"/>
      <c r="F70" s="260">
        <v>60</v>
      </c>
      <c r="G70" s="260">
        <v>71</v>
      </c>
      <c r="H70" s="260"/>
      <c r="I70" s="260"/>
      <c r="J70" s="260"/>
      <c r="K70" s="260"/>
      <c r="L70" s="21"/>
      <c r="M70" s="260"/>
      <c r="N70" s="260"/>
      <c r="O70" s="260"/>
      <c r="P70" s="47">
        <f t="shared" si="0"/>
        <v>131</v>
      </c>
    </row>
    <row r="71" s="5" customForma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1"/>
      <c r="M71" s="260"/>
      <c r="N71" s="260"/>
      <c r="O71" s="47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1"/>
      <c r="M72" s="260"/>
      <c r="N72" s="260"/>
      <c r="O72" s="47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1"/>
      <c r="M73" s="260"/>
      <c r="N73" s="260"/>
      <c r="O73" s="47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1"/>
      <c r="M74" s="260"/>
      <c r="N74" s="260"/>
      <c r="O74" s="47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1"/>
      <c r="M75" s="260"/>
      <c r="N75" s="260"/>
      <c r="O75" s="47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1"/>
      <c r="M76" s="260"/>
      <c r="N76" s="260"/>
      <c r="O76" s="47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1"/>
      <c r="M77" s="260"/>
      <c r="N77" s="260"/>
      <c r="O77" s="47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1"/>
      <c r="M78" s="260"/>
      <c r="N78" s="260"/>
      <c r="O78" s="47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1"/>
      <c r="M79" s="260"/>
      <c r="N79" s="260"/>
      <c r="O79" s="47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1"/>
      <c r="M80" s="260"/>
      <c r="N80" s="260"/>
      <c r="O80" s="47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1"/>
      <c r="M81" s="260"/>
      <c r="N81" s="260"/>
      <c r="O81" s="47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1"/>
      <c r="M82" s="260"/>
      <c r="N82" s="260"/>
      <c r="O82" s="47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1"/>
      <c r="M83" s="260"/>
      <c r="N83" s="260"/>
      <c r="O83" s="47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1"/>
      <c r="M84" s="260"/>
      <c r="N84" s="260"/>
      <c r="O84" s="47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1"/>
      <c r="M85" s="260"/>
      <c r="N85" s="260"/>
      <c r="O85" s="47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1"/>
      <c r="M86" s="260"/>
      <c r="N86" s="260"/>
      <c r="O86" s="47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1"/>
      <c r="M87" s="260"/>
      <c r="N87" s="260"/>
      <c r="O87" s="47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1"/>
      <c r="M88" s="260"/>
      <c r="N88" s="260"/>
      <c r="O88" s="47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1"/>
      <c r="M89" s="260"/>
      <c r="N89" s="260"/>
      <c r="O89" s="47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1"/>
      <c r="M90" s="260"/>
      <c r="N90" s="260"/>
      <c r="O90" s="47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1"/>
      <c r="M91" s="260"/>
      <c r="N91" s="260"/>
      <c r="O91" s="47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1">
        <v>426.48</v>
      </c>
      <c r="E92" s="260"/>
      <c r="F92" s="260"/>
      <c r="G92" s="58">
        <v>910.48</v>
      </c>
      <c r="H92" s="260"/>
      <c r="I92" s="260"/>
      <c r="J92" s="260"/>
      <c r="K92" s="260"/>
      <c r="L92" s="21"/>
      <c r="M92" s="260"/>
      <c r="N92" s="260"/>
      <c r="O92" s="47"/>
      <c r="P92" s="47">
        <f t="shared" si="1"/>
        <v>1336.96</v>
      </c>
    </row>
    <row r="93" s="6" customFormat="1" ht="15.75" spans="1:16">
      <c r="A93" s="232" t="s">
        <v>12</v>
      </c>
      <c r="B93" s="234"/>
      <c r="C93" s="308"/>
      <c r="D93" s="58">
        <f t="shared" ref="D93:P93" si="2">SUM(D6:D92)</f>
        <v>16919.7</v>
      </c>
      <c r="E93" s="58">
        <f t="shared" si="2"/>
        <v>30343.22</v>
      </c>
      <c r="F93" s="58">
        <f t="shared" si="2"/>
        <v>23778.22</v>
      </c>
      <c r="G93" s="58">
        <f t="shared" si="2"/>
        <v>25237.2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96278.34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>
        <v>0</v>
      </c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f>D93</f>
        <v>16919.7</v>
      </c>
      <c r="E98" s="47">
        <f t="shared" ref="E98:O98" si="3">E93</f>
        <v>30343.22</v>
      </c>
      <c r="F98" s="47">
        <f t="shared" si="3"/>
        <v>23778.22</v>
      </c>
      <c r="G98" s="47">
        <f t="shared" si="3"/>
        <v>25237.2</v>
      </c>
      <c r="H98" s="47">
        <f t="shared" si="3"/>
        <v>0</v>
      </c>
      <c r="I98" s="47">
        <f t="shared" si="3"/>
        <v>0</v>
      </c>
      <c r="J98" s="47">
        <f t="shared" si="3"/>
        <v>0</v>
      </c>
      <c r="K98" s="47">
        <f t="shared" si="3"/>
        <v>0</v>
      </c>
      <c r="L98" s="47">
        <f t="shared" si="3"/>
        <v>0</v>
      </c>
      <c r="M98" s="47">
        <f t="shared" si="3"/>
        <v>0</v>
      </c>
      <c r="N98" s="47">
        <f t="shared" si="3"/>
        <v>0</v>
      </c>
      <c r="O98" s="47">
        <f t="shared" si="3"/>
        <v>0</v>
      </c>
      <c r="P98" s="47">
        <f t="shared" si="1"/>
        <v>96278.34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14">
      <c r="D101" s="259"/>
      <c r="J101" s="157">
        <f>J98+'G-九江吉慕特'!J98+'G-上海吉慕特'!J98</f>
        <v>0</v>
      </c>
      <c r="K101" s="157">
        <f>K98+'G-九江吉慕特'!K98+'G-上海吉慕特'!K98</f>
        <v>0</v>
      </c>
      <c r="L101" s="157">
        <f>L98+'G-九江吉慕特'!L98+'G-上海吉慕特'!L98</f>
        <v>0</v>
      </c>
      <c r="M101" s="157">
        <f>M98+'G-九江吉慕特'!M98+'G-上海吉慕特'!M98</f>
        <v>0</v>
      </c>
      <c r="N101" s="157">
        <f>N98+'G-九江吉慕特'!N98+'G-上海吉慕特'!N98</f>
        <v>0</v>
      </c>
    </row>
    <row r="102" spans="4:8">
      <c r="D102" s="68"/>
      <c r="F102" s="157"/>
      <c r="H102" s="68"/>
    </row>
    <row r="103" spans="12:16">
      <c r="L103" s="68">
        <f>L98-L101</f>
        <v>0</v>
      </c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L34">
    <cfRule type="cellIs" dxfId="0" priority="1" stopIfTrue="1" operator="equal">
      <formula>"no"</formula>
    </cfRule>
  </conditionalFormatting>
  <conditionalFormatting sqref="A101:IE101">
    <cfRule type="cellIs" dxfId="0" priority="4" stopIfTrue="1" operator="equal">
      <formula>"no"</formula>
    </cfRule>
  </conditionalFormatting>
  <conditionalFormatting sqref="A101:IK101"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D106" sqref="D106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1.75" style="6" customWidth="1"/>
    <col min="6" max="6" width="12.25" style="6" customWidth="1"/>
    <col min="7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234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313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47">
        <f>SUM(D6:O6)</f>
        <v>0</v>
      </c>
      <c r="Q6" s="48">
        <f>P6+P7+P8+P19+P22+P23+P24+P25+P26</f>
        <v>0</v>
      </c>
      <c r="R6" s="48">
        <f>Q6</f>
        <v>0</v>
      </c>
      <c r="S6" s="5">
        <f>R6/10000</f>
        <v>0</v>
      </c>
    </row>
    <row r="7" s="5" customFormat="1" spans="1:16">
      <c r="A7" s="199"/>
      <c r="B7" s="23"/>
      <c r="C7" s="20" t="s">
        <v>71</v>
      </c>
      <c r="D7" s="313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spans="1:16">
      <c r="A8" s="199"/>
      <c r="B8" s="19" t="s">
        <v>72</v>
      </c>
      <c r="C8" s="20" t="s">
        <v>72</v>
      </c>
      <c r="D8" s="313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313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313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313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313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313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313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313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313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313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313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313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spans="1:16">
      <c r="A20" s="199"/>
      <c r="B20" s="19" t="s">
        <v>85</v>
      </c>
      <c r="C20" s="20" t="s">
        <v>85</v>
      </c>
      <c r="D20" s="313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313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313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spans="1:16">
      <c r="A23" s="199"/>
      <c r="B23" s="24"/>
      <c r="C23" s="25" t="s">
        <v>89</v>
      </c>
      <c r="D23" s="313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spans="1:16">
      <c r="A24" s="199"/>
      <c r="B24" s="24"/>
      <c r="C24" s="25" t="s">
        <v>90</v>
      </c>
      <c r="D24" s="313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spans="1:16">
      <c r="A25" s="199"/>
      <c r="B25" s="24"/>
      <c r="C25" s="25" t="s">
        <v>91</v>
      </c>
      <c r="D25" s="313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spans="1:16">
      <c r="A26" s="199"/>
      <c r="B26" s="23"/>
      <c r="C26" s="25" t="s">
        <v>92</v>
      </c>
      <c r="D26" s="313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spans="1:16">
      <c r="A27" s="200"/>
      <c r="B27" s="19" t="s">
        <v>93</v>
      </c>
      <c r="C27" s="20" t="s">
        <v>93</v>
      </c>
      <c r="D27" s="313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313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313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313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313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313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313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313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313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313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313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313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313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313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313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313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313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313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313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313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spans="1:16">
      <c r="A47" s="205"/>
      <c r="B47" s="26" t="s">
        <v>120</v>
      </c>
      <c r="C47" s="207" t="s">
        <v>120</v>
      </c>
      <c r="D47" s="313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3"/>
      <c r="E48" s="260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313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313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313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313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313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313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313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313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313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313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313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313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313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313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313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313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313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313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313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313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313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313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spans="1:16">
      <c r="A71" s="217"/>
      <c r="B71" s="40" t="s">
        <v>148</v>
      </c>
      <c r="C71" s="207" t="s">
        <v>148</v>
      </c>
      <c r="D71" s="313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47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313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47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313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47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313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47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313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47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313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47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313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47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313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47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313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47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313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47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313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47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313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47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313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47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313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47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313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47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313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47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313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47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313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47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313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47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313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47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313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47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313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47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f>D93</f>
        <v>0</v>
      </c>
      <c r="E98" s="47">
        <f t="shared" ref="E98:O98" si="3">E93</f>
        <v>0</v>
      </c>
      <c r="F98" s="47">
        <f t="shared" si="3"/>
        <v>0</v>
      </c>
      <c r="G98" s="47">
        <v>0</v>
      </c>
      <c r="H98" s="47">
        <f t="shared" si="3"/>
        <v>0</v>
      </c>
      <c r="I98" s="47">
        <f t="shared" si="3"/>
        <v>0</v>
      </c>
      <c r="J98" s="47">
        <f t="shared" si="3"/>
        <v>0</v>
      </c>
      <c r="K98" s="47">
        <f t="shared" si="3"/>
        <v>0</v>
      </c>
      <c r="L98" s="47">
        <f t="shared" si="3"/>
        <v>0</v>
      </c>
      <c r="M98" s="47">
        <f t="shared" si="3"/>
        <v>0</v>
      </c>
      <c r="N98" s="47">
        <f t="shared" si="3"/>
        <v>0</v>
      </c>
      <c r="O98" s="47">
        <f t="shared" si="3"/>
        <v>0</v>
      </c>
      <c r="P98" s="47">
        <f t="shared" si="1"/>
        <v>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12">
      <c r="D101" s="259"/>
      <c r="L101" s="157"/>
    </row>
    <row r="102" spans="4:6">
      <c r="D102" s="68">
        <f>D98+'G-上海吉慕特'!D98</f>
        <v>3500</v>
      </c>
      <c r="F102" s="157">
        <f>F98+'G-上海吉慕特'!F98</f>
        <v>0</v>
      </c>
    </row>
    <row r="103" spans="16:16"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5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D94" sqref="D94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8" width="11.5" style="10" customWidth="1"/>
    <col min="9" max="9" width="13.875" style="10" customWidth="1"/>
    <col min="10" max="12" width="11.5" style="10" customWidth="1"/>
    <col min="13" max="15" width="12.75" style="10" customWidth="1"/>
    <col min="16" max="16" width="14.25" style="10" customWidth="1"/>
    <col min="17" max="17" width="9" style="10"/>
    <col min="18" max="18" width="14.5" style="10" customWidth="1"/>
    <col min="19" max="19" width="13.2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235</v>
      </c>
      <c r="B1" s="69"/>
      <c r="C1" s="69"/>
      <c r="D1" s="69"/>
      <c r="E1" s="6"/>
      <c r="F1" s="6"/>
    </row>
    <row r="2" s="2" customFormat="1" spans="1:6">
      <c r="A2" s="2" t="s">
        <v>218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9">
      <c r="A6" s="198" t="s">
        <v>69</v>
      </c>
      <c r="B6" s="19" t="s">
        <v>70</v>
      </c>
      <c r="C6" s="20" t="s">
        <v>70</v>
      </c>
      <c r="D6" s="310">
        <v>3500</v>
      </c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47">
        <f>SUM(D6:O6)</f>
        <v>3500</v>
      </c>
      <c r="Q6" s="48">
        <f>P6+P7+P8+P19+P22+P23+P24+P25+P26</f>
        <v>3500</v>
      </c>
      <c r="R6" s="48">
        <f>Q6</f>
        <v>3500</v>
      </c>
      <c r="S6" s="5">
        <f>R6/10000</f>
        <v>0.35</v>
      </c>
    </row>
    <row r="7" s="5" customFormat="1" spans="1:16">
      <c r="A7" s="199"/>
      <c r="B7" s="23"/>
      <c r="C7" s="20" t="s">
        <v>71</v>
      </c>
      <c r="D7" s="310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spans="1:16">
      <c r="A8" s="199"/>
      <c r="B8" s="19" t="s">
        <v>72</v>
      </c>
      <c r="C8" s="20" t="s">
        <v>72</v>
      </c>
      <c r="D8" s="310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31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31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310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310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spans="1:16">
      <c r="A13" s="199"/>
      <c r="B13" s="24"/>
      <c r="C13" s="25" t="s">
        <v>78</v>
      </c>
      <c r="D13" s="310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31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spans="1:16">
      <c r="A15" s="199"/>
      <c r="B15" s="24"/>
      <c r="C15" s="25" t="s">
        <v>80</v>
      </c>
      <c r="D15" s="31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31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31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31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310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spans="1:16">
      <c r="A20" s="199"/>
      <c r="B20" s="19" t="s">
        <v>85</v>
      </c>
      <c r="C20" s="20" t="s">
        <v>85</v>
      </c>
      <c r="D20" s="310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310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310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spans="1:16">
      <c r="A23" s="199"/>
      <c r="B23" s="24"/>
      <c r="C23" s="25" t="s">
        <v>89</v>
      </c>
      <c r="D23" s="250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spans="1:16">
      <c r="A24" s="199"/>
      <c r="B24" s="24"/>
      <c r="C24" s="25" t="s">
        <v>90</v>
      </c>
      <c r="D24" s="31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spans="1:16">
      <c r="A25" s="199"/>
      <c r="B25" s="24"/>
      <c r="C25" s="25" t="s">
        <v>91</v>
      </c>
      <c r="D25" s="31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spans="1:16">
      <c r="A26" s="199"/>
      <c r="B26" s="23"/>
      <c r="C26" s="25" t="s">
        <v>92</v>
      </c>
      <c r="D26" s="310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31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31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311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31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31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311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31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31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31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31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31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31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31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31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311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spans="1:16">
      <c r="A47" s="205"/>
      <c r="B47" s="26" t="s">
        <v>120</v>
      </c>
      <c r="C47" s="207" t="s">
        <v>120</v>
      </c>
      <c r="D47" s="311"/>
      <c r="E47" s="260"/>
      <c r="F47" s="307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312"/>
      <c r="E48" s="260"/>
      <c r="F48" s="260"/>
      <c r="G48" s="307"/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31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31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31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31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31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31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31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31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31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31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31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31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31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spans="1:16">
      <c r="A62" s="215"/>
      <c r="B62" s="26" t="s">
        <v>137</v>
      </c>
      <c r="C62" s="207" t="s">
        <v>137</v>
      </c>
      <c r="D62" s="31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31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31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31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31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31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31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31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spans="1:16">
      <c r="A70" s="217"/>
      <c r="B70" s="37" t="s">
        <v>147</v>
      </c>
      <c r="C70" s="206" t="s">
        <v>147</v>
      </c>
      <c r="D70" s="311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spans="1:16">
      <c r="A71" s="217"/>
      <c r="B71" s="40" t="s">
        <v>148</v>
      </c>
      <c r="C71" s="207" t="s">
        <v>148</v>
      </c>
      <c r="D71" s="31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47"/>
      <c r="P71" s="47">
        <f t="shared" ref="P71:P98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31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47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31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47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31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47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31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47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31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47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31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47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31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47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31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47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31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47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31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47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31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47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31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47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31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47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31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47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31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47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31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47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31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47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31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47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31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47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31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47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311"/>
      <c r="E92" s="260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15.75" spans="1:16">
      <c r="A93" s="232" t="s">
        <v>12</v>
      </c>
      <c r="B93" s="234"/>
      <c r="C93" s="308"/>
      <c r="D93" s="58">
        <f>SUM(D6:D92)</f>
        <v>3500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3500</v>
      </c>
    </row>
    <row r="94" s="7" customFormat="1" ht="13.5" spans="1:16">
      <c r="A94" s="252" t="s">
        <v>176</v>
      </c>
      <c r="B94" s="253"/>
      <c r="C94" s="254"/>
      <c r="D94" s="235"/>
      <c r="E94" s="47"/>
      <c r="F94" s="47"/>
      <c r="G94" s="236">
        <v>0</v>
      </c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13.5" spans="1:16">
      <c r="A95" s="252" t="s">
        <v>177</v>
      </c>
      <c r="B95" s="253"/>
      <c r="C95" s="254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13.5" spans="1:16">
      <c r="A96" s="252" t="s">
        <v>178</v>
      </c>
      <c r="B96" s="253"/>
      <c r="C96" s="254"/>
      <c r="D96" s="47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 t="s">
        <v>179</v>
      </c>
      <c r="B97" s="253"/>
      <c r="C97" s="254"/>
      <c r="D97" s="47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180</v>
      </c>
      <c r="B98" s="253"/>
      <c r="C98" s="254"/>
      <c r="D98" s="47">
        <f>D93</f>
        <v>3500</v>
      </c>
      <c r="E98" s="47">
        <f t="shared" ref="E98:O98" si="3">E93</f>
        <v>0</v>
      </c>
      <c r="F98" s="47">
        <f t="shared" si="3"/>
        <v>0</v>
      </c>
      <c r="G98" s="47">
        <f t="shared" si="3"/>
        <v>0</v>
      </c>
      <c r="H98" s="47">
        <f t="shared" si="3"/>
        <v>0</v>
      </c>
      <c r="I98" s="47">
        <f t="shared" si="3"/>
        <v>0</v>
      </c>
      <c r="J98" s="47">
        <f t="shared" si="3"/>
        <v>0</v>
      </c>
      <c r="K98" s="47">
        <f t="shared" si="3"/>
        <v>0</v>
      </c>
      <c r="L98" s="47">
        <f t="shared" si="3"/>
        <v>0</v>
      </c>
      <c r="M98" s="47">
        <f t="shared" si="3"/>
        <v>0</v>
      </c>
      <c r="N98" s="47">
        <f t="shared" si="3"/>
        <v>0</v>
      </c>
      <c r="O98" s="47">
        <f t="shared" si="3"/>
        <v>0</v>
      </c>
      <c r="P98" s="47">
        <f t="shared" si="1"/>
        <v>3500</v>
      </c>
    </row>
    <row r="99" s="190" customFormat="1" ht="13.5" spans="1:6">
      <c r="A99" s="190" t="s">
        <v>181</v>
      </c>
      <c r="E99" s="6"/>
      <c r="F99" s="238"/>
    </row>
    <row r="100" spans="4:15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</row>
    <row r="101" s="6" customFormat="1" ht="12" spans="4:12">
      <c r="D101" s="259"/>
      <c r="L101" s="157">
        <f>L98+'G-九江吉慕特'!L93+'G-张家港吉慕特'!L98</f>
        <v>0</v>
      </c>
    </row>
    <row r="102" spans="9:9">
      <c r="I102" s="68"/>
    </row>
    <row r="103" spans="16:16">
      <c r="P103" s="68"/>
    </row>
    <row r="105" s="6" customFormat="1" ht="12" spans="4:4">
      <c r="D105" s="241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IE101">
    <cfRule type="cellIs" dxfId="0" priority="3" stopIfTrue="1" operator="equal">
      <formula>"no"</formula>
    </cfRule>
  </conditionalFormatting>
  <conditionalFormatting sqref="A101:IK101">
    <cfRule type="cellIs" dxfId="0" priority="1" stopIfTrue="1" operator="equal">
      <formula>"no"</formula>
    </cfRule>
    <cfRule type="cellIs" dxfId="0" priority="2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236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v>119202</v>
      </c>
      <c r="E6" s="260">
        <v>104589.25</v>
      </c>
      <c r="F6" s="260">
        <v>125776.22</v>
      </c>
      <c r="G6" s="260">
        <v>104725.54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454293.01</v>
      </c>
      <c r="Q6" s="48">
        <f>P6+P7+P8+P19+P22+P23+P24+P25+P26</f>
        <v>516080.82</v>
      </c>
      <c r="R6" s="48">
        <f>Q6+'X-高新'!Q6+'Z-高新'!Q6+'Y-高新'!Q6</f>
        <v>516080.82</v>
      </c>
      <c r="S6" s="48">
        <f>R6/10000</f>
        <v>51.608082</v>
      </c>
    </row>
    <row r="7" s="5" customFormat="1" ht="17.25" customHeight="1" spans="1:16">
      <c r="A7" s="199"/>
      <c r="B7" s="23"/>
      <c r="C7" s="20" t="s">
        <v>71</v>
      </c>
      <c r="D7" s="21">
        <v>6307</v>
      </c>
      <c r="E7" s="260">
        <v>7941</v>
      </c>
      <c r="F7" s="260">
        <v>7253</v>
      </c>
      <c r="G7" s="260">
        <v>7253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28754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2500</v>
      </c>
      <c r="E8" s="260">
        <v>0</v>
      </c>
      <c r="F8" s="260">
        <v>0</v>
      </c>
      <c r="G8" s="260">
        <v>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2500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>
        <v>0</v>
      </c>
      <c r="F9" s="260">
        <v>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v>24252.7</v>
      </c>
      <c r="E10" s="260">
        <v>17816.5</v>
      </c>
      <c r="F10" s="260">
        <v>25695.2</v>
      </c>
      <c r="G10" s="260">
        <v>25561.2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93325.6</v>
      </c>
    </row>
    <row r="11" s="5" customFormat="1" ht="17.25" customHeight="1" spans="1:16">
      <c r="A11" s="199"/>
      <c r="B11" s="24"/>
      <c r="C11" s="25" t="s">
        <v>76</v>
      </c>
      <c r="D11" s="21"/>
      <c r="E11" s="260">
        <v>0</v>
      </c>
      <c r="F11" s="260">
        <v>7912</v>
      </c>
      <c r="G11" s="260">
        <v>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7912</v>
      </c>
    </row>
    <row r="12" s="5" customFormat="1" ht="17.25" customHeight="1" spans="1:16">
      <c r="A12" s="199"/>
      <c r="B12" s="24"/>
      <c r="C12" s="20" t="s">
        <v>77</v>
      </c>
      <c r="D12" s="21"/>
      <c r="E12" s="260">
        <v>0</v>
      </c>
      <c r="F12" s="260">
        <v>0</v>
      </c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>
        <v>20</v>
      </c>
      <c r="E13" s="260">
        <v>0</v>
      </c>
      <c r="F13" s="260">
        <v>0</v>
      </c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20</v>
      </c>
    </row>
    <row r="14" s="5" customFormat="1" ht="17.25" customHeight="1" spans="1:16">
      <c r="A14" s="199"/>
      <c r="B14" s="24"/>
      <c r="C14" s="20" t="s">
        <v>79</v>
      </c>
      <c r="D14" s="21"/>
      <c r="E14" s="260">
        <v>0</v>
      </c>
      <c r="F14" s="260">
        <v>0</v>
      </c>
      <c r="G14" s="260">
        <v>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>
        <v>0</v>
      </c>
      <c r="F15" s="260">
        <v>0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>
        <v>0</v>
      </c>
      <c r="F16" s="260">
        <v>0</v>
      </c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>
        <v>0</v>
      </c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>
        <v>29854.99</v>
      </c>
      <c r="E18" s="260">
        <v>4401.75</v>
      </c>
      <c r="F18" s="260">
        <v>-8304.02</v>
      </c>
      <c r="G18" s="260">
        <v>3508.11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29460.83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766</v>
      </c>
      <c r="E19" s="260">
        <v>755</v>
      </c>
      <c r="F19" s="260">
        <v>2865</v>
      </c>
      <c r="G19" s="260">
        <v>3015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7401</v>
      </c>
    </row>
    <row r="20" s="5" customFormat="1" ht="17.25" customHeight="1" spans="1:16">
      <c r="A20" s="199"/>
      <c r="B20" s="19" t="s">
        <v>85</v>
      </c>
      <c r="C20" s="20" t="s">
        <v>85</v>
      </c>
      <c r="D20" s="21">
        <v>16</v>
      </c>
      <c r="E20" s="260">
        <v>16</v>
      </c>
      <c r="F20" s="260">
        <v>16</v>
      </c>
      <c r="G20" s="260">
        <v>16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64</v>
      </c>
    </row>
    <row r="21" s="5" customFormat="1" ht="17.25" customHeight="1" spans="1:16">
      <c r="A21" s="199"/>
      <c r="B21" s="19" t="s">
        <v>86</v>
      </c>
      <c r="C21" s="20" t="s">
        <v>86</v>
      </c>
      <c r="D21" s="21">
        <v>90</v>
      </c>
      <c r="E21" s="260">
        <v>0</v>
      </c>
      <c r="F21" s="260">
        <v>0</v>
      </c>
      <c r="G21" s="260">
        <v>0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90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8343.55</v>
      </c>
      <c r="E22" s="260">
        <v>10757.16</v>
      </c>
      <c r="F22" s="260">
        <v>-9517.16</v>
      </c>
      <c r="G22" s="260">
        <v>620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10203.55</v>
      </c>
    </row>
    <row r="23" s="5" customFormat="1" ht="17.25" customHeight="1" spans="1:16">
      <c r="A23" s="199"/>
      <c r="B23" s="24"/>
      <c r="C23" s="25" t="s">
        <v>89</v>
      </c>
      <c r="D23" s="21">
        <v>261.36</v>
      </c>
      <c r="E23" s="260">
        <v>336.8</v>
      </c>
      <c r="F23" s="260">
        <v>-296.8</v>
      </c>
      <c r="G23" s="260">
        <v>20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321.36</v>
      </c>
    </row>
    <row r="24" s="5" customFormat="1" ht="17.25" customHeight="1" spans="1:16">
      <c r="A24" s="199"/>
      <c r="B24" s="24"/>
      <c r="C24" s="25" t="s">
        <v>90</v>
      </c>
      <c r="D24" s="21">
        <v>349.39</v>
      </c>
      <c r="E24" s="260">
        <v>427.81</v>
      </c>
      <c r="F24" s="260">
        <v>-395.81</v>
      </c>
      <c r="G24" s="260">
        <v>86.4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467.79</v>
      </c>
    </row>
    <row r="25" s="5" customFormat="1" ht="17.25" customHeight="1" spans="1:16">
      <c r="A25" s="199"/>
      <c r="B25" s="24"/>
      <c r="C25" s="25" t="s">
        <v>91</v>
      </c>
      <c r="D25" s="21">
        <v>5763.87</v>
      </c>
      <c r="E25" s="260">
        <v>7485.08</v>
      </c>
      <c r="F25" s="260">
        <v>-2840.76</v>
      </c>
      <c r="G25" s="260">
        <v>1711.92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12120.11</v>
      </c>
    </row>
    <row r="26" s="5" customFormat="1" ht="17.25" customHeight="1" spans="1:16">
      <c r="A26" s="199"/>
      <c r="B26" s="23"/>
      <c r="C26" s="25" t="s">
        <v>92</v>
      </c>
      <c r="D26" s="21">
        <v>20</v>
      </c>
      <c r="E26" s="260">
        <v>0</v>
      </c>
      <c r="F26" s="260">
        <v>0</v>
      </c>
      <c r="G26" s="260">
        <v>0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20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>
        <v>0</v>
      </c>
      <c r="F27" s="260">
        <v>0</v>
      </c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>
        <v>0</v>
      </c>
      <c r="F28" s="260">
        <v>0</v>
      </c>
      <c r="G28" s="260">
        <v>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60">
        <v>0</v>
      </c>
      <c r="F29" s="260">
        <v>0</v>
      </c>
      <c r="G29" s="260">
        <v>115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115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630</v>
      </c>
      <c r="E30" s="260">
        <v>0</v>
      </c>
      <c r="F30" s="260">
        <v>0</v>
      </c>
      <c r="G30" s="260">
        <v>1980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2610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v>911.16</v>
      </c>
      <c r="E31" s="260">
        <v>0</v>
      </c>
      <c r="F31" s="260">
        <v>1822.4</v>
      </c>
      <c r="G31" s="260">
        <v>913.16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3646.72</v>
      </c>
    </row>
    <row r="32" s="5" customFormat="1" ht="17.25" customHeight="1" spans="1:16">
      <c r="A32" s="202"/>
      <c r="B32" s="24"/>
      <c r="C32" s="25" t="s">
        <v>101</v>
      </c>
      <c r="D32" s="21"/>
      <c r="E32" s="260">
        <v>0</v>
      </c>
      <c r="F32" s="260">
        <v>0</v>
      </c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>
        <v>0</v>
      </c>
      <c r="F33" s="260">
        <v>0</v>
      </c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1585.61</v>
      </c>
      <c r="E34" s="260">
        <v>0</v>
      </c>
      <c r="F34" s="260">
        <v>0</v>
      </c>
      <c r="G34" s="260">
        <v>384.47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1970.08</v>
      </c>
    </row>
    <row r="35" s="5" customFormat="1" ht="17.25" customHeight="1" spans="1:16">
      <c r="A35" s="202"/>
      <c r="B35" s="23"/>
      <c r="C35" s="25" t="s">
        <v>105</v>
      </c>
      <c r="D35" s="21"/>
      <c r="E35" s="260">
        <v>0</v>
      </c>
      <c r="F35" s="260">
        <v>0</v>
      </c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10333.76</v>
      </c>
      <c r="E36" s="260">
        <v>3905</v>
      </c>
      <c r="F36" s="260">
        <v>5244.94</v>
      </c>
      <c r="G36" s="260">
        <v>9892.45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29376.15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9293</v>
      </c>
      <c r="E37" s="260">
        <v>3780</v>
      </c>
      <c r="F37" s="260">
        <v>-4816</v>
      </c>
      <c r="G37" s="260">
        <v>20418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28675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>
        <v>0</v>
      </c>
      <c r="F38" s="260">
        <v>0</v>
      </c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>
        <v>0</v>
      </c>
      <c r="F39" s="260">
        <v>0</v>
      </c>
      <c r="G39" s="260">
        <v>0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>
        <v>0</v>
      </c>
      <c r="F40" s="260">
        <v>1259</v>
      </c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1259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2125.29</v>
      </c>
      <c r="E41" s="260">
        <v>0</v>
      </c>
      <c r="F41" s="260">
        <v>184.59</v>
      </c>
      <c r="G41" s="260">
        <v>1030.91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3340.79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>
        <v>0</v>
      </c>
      <c r="F42" s="260">
        <v>0</v>
      </c>
      <c r="G42" s="260">
        <v>0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v>300</v>
      </c>
      <c r="E43" s="260">
        <v>0</v>
      </c>
      <c r="F43" s="260">
        <v>0</v>
      </c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300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>
        <v>-448.24</v>
      </c>
      <c r="F44" s="260">
        <v>0</v>
      </c>
      <c r="G44" s="260">
        <v>24273.59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23825.35</v>
      </c>
    </row>
    <row r="45" s="5" customFormat="1" ht="17.25" customHeight="1" spans="1:16">
      <c r="A45" s="205"/>
      <c r="B45" s="23"/>
      <c r="C45" s="206" t="s">
        <v>118</v>
      </c>
      <c r="D45" s="21"/>
      <c r="E45" s="260">
        <v>0</v>
      </c>
      <c r="F45" s="260">
        <v>0</v>
      </c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19140.52</v>
      </c>
      <c r="E46" s="260">
        <v>69670.53</v>
      </c>
      <c r="F46" s="260">
        <v>19140.52</v>
      </c>
      <c r="G46" s="260">
        <v>19140.51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127092.08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1402.8</v>
      </c>
      <c r="E47" s="260">
        <v>1402.8</v>
      </c>
      <c r="F47" s="260">
        <v>1402.8</v>
      </c>
      <c r="G47" s="260">
        <v>1402.8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5611.2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>
        <v>0</v>
      </c>
      <c r="F48" s="260">
        <v>0</v>
      </c>
      <c r="G48" s="260">
        <v>0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>
        <v>0</v>
      </c>
      <c r="F49" s="260">
        <v>0</v>
      </c>
      <c r="G49" s="260">
        <v>0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>
        <v>0</v>
      </c>
      <c r="F50" s="260">
        <v>0</v>
      </c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>
        <v>0</v>
      </c>
      <c r="F51" s="260">
        <v>0</v>
      </c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>
        <v>0</v>
      </c>
      <c r="F52" s="260">
        <v>42.92</v>
      </c>
      <c r="G52" s="260">
        <v>0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42.92</v>
      </c>
    </row>
    <row r="53" s="5" customFormat="1" ht="17.25" customHeight="1" spans="1:16">
      <c r="A53" s="211"/>
      <c r="B53" s="24"/>
      <c r="C53" s="207" t="s">
        <v>128</v>
      </c>
      <c r="D53" s="21">
        <v>-2500</v>
      </c>
      <c r="E53" s="260">
        <v>0</v>
      </c>
      <c r="F53" s="260">
        <v>0</v>
      </c>
      <c r="G53" s="260">
        <v>-1471.7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-3971.7</v>
      </c>
    </row>
    <row r="54" s="5" customFormat="1" ht="17.25" customHeight="1" spans="1:16">
      <c r="A54" s="211"/>
      <c r="B54" s="23"/>
      <c r="C54" s="207" t="s">
        <v>83</v>
      </c>
      <c r="D54" s="21"/>
      <c r="E54" s="260">
        <v>0</v>
      </c>
      <c r="F54" s="260">
        <v>0</v>
      </c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>
        <v>0</v>
      </c>
      <c r="F55" s="260">
        <v>0</v>
      </c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>
        <v>0</v>
      </c>
      <c r="F56" s="260">
        <v>0</v>
      </c>
      <c r="G56" s="260">
        <v>6213.59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6213.59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>
        <v>0</v>
      </c>
      <c r="F57" s="260">
        <v>0</v>
      </c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>
        <v>0</v>
      </c>
      <c r="F58" s="260">
        <v>0</v>
      </c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>
        <v>0</v>
      </c>
      <c r="F59" s="260">
        <v>0</v>
      </c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>
        <v>0</v>
      </c>
      <c r="F60" s="260">
        <v>0</v>
      </c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>
        <v>0</v>
      </c>
      <c r="F61" s="260">
        <v>0</v>
      </c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>
        <v>0</v>
      </c>
      <c r="F62" s="260">
        <v>0</v>
      </c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>
        <v>0</v>
      </c>
      <c r="F63" s="260">
        <v>0</v>
      </c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>
        <v>0</v>
      </c>
      <c r="F64" s="260">
        <v>0</v>
      </c>
      <c r="G64" s="260">
        <v>0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>
        <v>0</v>
      </c>
      <c r="F65" s="260">
        <v>0</v>
      </c>
      <c r="G65" s="260">
        <v>0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>
        <v>0</v>
      </c>
      <c r="F66" s="260">
        <v>0</v>
      </c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>
        <v>0</v>
      </c>
      <c r="F67" s="260">
        <v>0</v>
      </c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>
        <v>0</v>
      </c>
      <c r="F68" s="260">
        <v>0</v>
      </c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>
        <v>0</v>
      </c>
      <c r="F69" s="260">
        <v>0</v>
      </c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256</v>
      </c>
      <c r="E70" s="260">
        <v>0</v>
      </c>
      <c r="F70" s="260">
        <v>0</v>
      </c>
      <c r="G70" s="260">
        <v>0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256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>
        <v>0</v>
      </c>
      <c r="F71" s="260">
        <v>0</v>
      </c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>
        <v>0</v>
      </c>
      <c r="F72" s="260">
        <v>0</v>
      </c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>
        <v>0</v>
      </c>
      <c r="F73" s="260">
        <v>0</v>
      </c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>
        <v>0</v>
      </c>
      <c r="F74" s="260">
        <v>0</v>
      </c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>
        <v>150</v>
      </c>
      <c r="E75" s="260">
        <v>0</v>
      </c>
      <c r="F75" s="260">
        <v>0</v>
      </c>
      <c r="G75" s="260">
        <v>150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300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>
        <v>0</v>
      </c>
      <c r="F76" s="260">
        <v>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>
        <v>0</v>
      </c>
      <c r="F77" s="260">
        <v>0</v>
      </c>
      <c r="G77" s="260">
        <v>6000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6000</v>
      </c>
    </row>
    <row r="78" s="5" customFormat="1" ht="17.25" customHeight="1" spans="1:16">
      <c r="A78" s="221"/>
      <c r="B78" s="23"/>
      <c r="C78" s="218" t="s">
        <v>158</v>
      </c>
      <c r="D78" s="21"/>
      <c r="E78" s="260">
        <v>0</v>
      </c>
      <c r="F78" s="260">
        <v>0</v>
      </c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>
        <v>0</v>
      </c>
      <c r="F79" s="260">
        <v>0</v>
      </c>
      <c r="G79" s="260">
        <v>0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v>118.79</v>
      </c>
      <c r="E80" s="260">
        <v>3525.66</v>
      </c>
      <c r="F80" s="260">
        <v>1078.07</v>
      </c>
      <c r="G80" s="260">
        <v>995.23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5717.75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v>15377.86</v>
      </c>
      <c r="E81" s="260">
        <v>0</v>
      </c>
      <c r="F81" s="260">
        <v>66544.08</v>
      </c>
      <c r="G81" s="260">
        <v>24633.91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106555.85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>
        <v>4800</v>
      </c>
      <c r="E82" s="260">
        <v>0</v>
      </c>
      <c r="F82" s="260">
        <v>8000</v>
      </c>
      <c r="G82" s="260">
        <v>8800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21600</v>
      </c>
    </row>
    <row r="83" s="5" customFormat="1" ht="17.25" customHeight="1" spans="1:16">
      <c r="A83" s="224"/>
      <c r="B83" s="24"/>
      <c r="C83" s="25" t="s">
        <v>165</v>
      </c>
      <c r="D83" s="21">
        <v>37000</v>
      </c>
      <c r="E83" s="260">
        <v>34242.46</v>
      </c>
      <c r="F83" s="260">
        <v>32984.96</v>
      </c>
      <c r="G83" s="260">
        <v>19915.93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124143.35</v>
      </c>
    </row>
    <row r="84" s="5" customFormat="1" ht="17.25" customHeight="1" spans="1:16">
      <c r="A84" s="224"/>
      <c r="B84" s="23"/>
      <c r="C84" s="25" t="s">
        <v>166</v>
      </c>
      <c r="D84" s="21"/>
      <c r="E84" s="260">
        <v>0</v>
      </c>
      <c r="F84" s="260">
        <v>0</v>
      </c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>
        <v>5000</v>
      </c>
      <c r="F85" s="260">
        <v>-754.72</v>
      </c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4245.28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>
        <v>0</v>
      </c>
      <c r="F86" s="260">
        <v>0</v>
      </c>
      <c r="G86" s="260">
        <v>0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>
        <v>0</v>
      </c>
      <c r="F87" s="260">
        <v>0</v>
      </c>
      <c r="G87" s="260">
        <v>0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>
        <v>0</v>
      </c>
      <c r="F88" s="260">
        <v>0</v>
      </c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>
        <v>0</v>
      </c>
      <c r="F89" s="260">
        <v>0</v>
      </c>
      <c r="G89" s="260">
        <v>0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>
        <v>0</v>
      </c>
      <c r="F90" s="260">
        <v>0</v>
      </c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>
        <v>0</v>
      </c>
      <c r="F91" s="260">
        <v>0</v>
      </c>
      <c r="G91" s="260">
        <v>0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60">
        <v>0</v>
      </c>
      <c r="F92" s="260">
        <v>276</v>
      </c>
      <c r="G92" s="260">
        <v>200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476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298671.65</v>
      </c>
      <c r="E93" s="58">
        <f t="shared" ref="E93:P93" si="2">SUM(E6:E92)</f>
        <v>275604.56</v>
      </c>
      <c r="F93" s="58">
        <f t="shared" si="2"/>
        <v>280572.43</v>
      </c>
      <c r="G93" s="58">
        <f>SUM(G6:G92)</f>
        <v>291505.02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1146353.66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298671.65</v>
      </c>
      <c r="E96" s="46">
        <f t="shared" ref="E96:O96" si="3">E93</f>
        <v>275604.56</v>
      </c>
      <c r="F96" s="46">
        <f t="shared" si="3"/>
        <v>280572.43</v>
      </c>
      <c r="G96" s="46">
        <f t="shared" si="3"/>
        <v>291505.02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1146353.66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7">
        <f t="shared" si="1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O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ref="P100" si="5">IF(SUM(P94:P98)=P93,"ok","no")</f>
        <v>ok</v>
      </c>
    </row>
    <row r="101" s="6" customFormat="1" customHeight="1" spans="4:6">
      <c r="D101" s="259"/>
      <c r="F101" s="266">
        <v>280572.43</v>
      </c>
    </row>
    <row r="103" spans="16:16">
      <c r="P103" s="242">
        <v>32288242.86</v>
      </c>
    </row>
    <row r="104" spans="16:16">
      <c r="P104" s="80">
        <f>P103-P93</f>
        <v>31141889.2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X11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237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v>95824.75</v>
      </c>
      <c r="E6" s="260">
        <v>80514.16</v>
      </c>
      <c r="F6" s="260">
        <v>94861.8</v>
      </c>
      <c r="G6" s="260">
        <v>102261.19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373461.9</v>
      </c>
      <c r="Q6" s="48">
        <f>P6+P7+P8+P19+P22+P23+P24+P25+P26</f>
        <v>440510.33</v>
      </c>
      <c r="R6" s="48">
        <f>Q6+'X-高新'!Q6+'Z-高新'!Q6+'Y-高新'!Q6</f>
        <v>440510.33</v>
      </c>
      <c r="S6" s="48">
        <f>R6/10000</f>
        <v>44.051033</v>
      </c>
    </row>
    <row r="7" s="5" customFormat="1" ht="17.25" customHeight="1" spans="1:16">
      <c r="A7" s="199"/>
      <c r="B7" s="23"/>
      <c r="C7" s="20" t="s">
        <v>71</v>
      </c>
      <c r="D7" s="21">
        <v>6629</v>
      </c>
      <c r="E7" s="260">
        <v>3741</v>
      </c>
      <c r="F7" s="260">
        <v>3741</v>
      </c>
      <c r="G7" s="260">
        <v>3741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17852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7261.9</v>
      </c>
      <c r="E8" s="260" t="s">
        <v>238</v>
      </c>
      <c r="F8" s="260">
        <v>9523.8</v>
      </c>
      <c r="G8" s="260">
        <v>4761.9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21547.6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 t="s">
        <v>238</v>
      </c>
      <c r="F9" s="260">
        <v>0</v>
      </c>
      <c r="G9" s="260">
        <v>0</v>
      </c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v>8740</v>
      </c>
      <c r="E10" s="260">
        <v>5140</v>
      </c>
      <c r="F10" s="260">
        <v>8605</v>
      </c>
      <c r="G10" s="260">
        <v>8730</v>
      </c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31215</v>
      </c>
    </row>
    <row r="11" s="5" customFormat="1" ht="17.25" customHeight="1" spans="1:16">
      <c r="A11" s="199"/>
      <c r="B11" s="24"/>
      <c r="C11" s="25" t="s">
        <v>76</v>
      </c>
      <c r="D11" s="21"/>
      <c r="E11" s="260" t="s">
        <v>238</v>
      </c>
      <c r="F11" s="260">
        <v>6312</v>
      </c>
      <c r="G11" s="260">
        <v>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6312</v>
      </c>
    </row>
    <row r="12" s="5" customFormat="1" ht="17.25" customHeight="1" spans="1:16">
      <c r="A12" s="199"/>
      <c r="B12" s="24"/>
      <c r="C12" s="20" t="s">
        <v>77</v>
      </c>
      <c r="D12" s="21"/>
      <c r="E12" s="260" t="s">
        <v>238</v>
      </c>
      <c r="F12" s="260">
        <v>0</v>
      </c>
      <c r="G12" s="260">
        <v>0</v>
      </c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 t="s">
        <v>238</v>
      </c>
      <c r="F13" s="260">
        <v>0</v>
      </c>
      <c r="G13" s="260">
        <v>0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 t="s">
        <v>238</v>
      </c>
      <c r="F14" s="260">
        <v>0</v>
      </c>
      <c r="G14" s="260">
        <v>0</v>
      </c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 t="s">
        <v>238</v>
      </c>
      <c r="F15" s="260">
        <v>0</v>
      </c>
      <c r="G15" s="260">
        <v>0</v>
      </c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 t="s">
        <v>238</v>
      </c>
      <c r="F16" s="260">
        <v>0</v>
      </c>
      <c r="G16" s="260">
        <v>0</v>
      </c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 t="s">
        <v>238</v>
      </c>
      <c r="F17" s="260">
        <v>0</v>
      </c>
      <c r="G17" s="260">
        <v>0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>
        <v>20421.21</v>
      </c>
      <c r="E18" s="260">
        <v>4000</v>
      </c>
      <c r="F18" s="260">
        <v>-827.45</v>
      </c>
      <c r="G18" s="260">
        <v>122490.52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146084.28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999</v>
      </c>
      <c r="E19" s="260">
        <v>999</v>
      </c>
      <c r="F19" s="260">
        <v>2949</v>
      </c>
      <c r="G19" s="260">
        <v>3099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8046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 t="s">
        <v>238</v>
      </c>
      <c r="F20" s="260">
        <v>0</v>
      </c>
      <c r="G20" s="260">
        <v>0</v>
      </c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 t="s">
        <v>238</v>
      </c>
      <c r="F21" s="260">
        <v>0</v>
      </c>
      <c r="G21" s="260">
        <v>0</v>
      </c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7741.14</v>
      </c>
      <c r="E22" s="260">
        <v>7741.12</v>
      </c>
      <c r="F22" s="260">
        <v>-6758.08</v>
      </c>
      <c r="G22" s="260">
        <v>-983.04</v>
      </c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7741.14</v>
      </c>
    </row>
    <row r="23" s="5" customFormat="1" ht="17.25" customHeight="1" spans="1:16">
      <c r="A23" s="199"/>
      <c r="B23" s="24"/>
      <c r="C23" s="25" t="s">
        <v>89</v>
      </c>
      <c r="D23" s="21">
        <v>241.98</v>
      </c>
      <c r="E23" s="260">
        <v>241.98</v>
      </c>
      <c r="F23" s="260">
        <v>-211.26</v>
      </c>
      <c r="G23" s="260">
        <v>-30.72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241.98</v>
      </c>
    </row>
    <row r="24" s="5" customFormat="1" ht="17.25" customHeight="1" spans="1:16">
      <c r="A24" s="199"/>
      <c r="B24" s="24"/>
      <c r="C24" s="25" t="s">
        <v>90</v>
      </c>
      <c r="D24" s="21">
        <v>432.22</v>
      </c>
      <c r="E24" s="260">
        <v>432.22</v>
      </c>
      <c r="F24" s="260">
        <v>-407.94</v>
      </c>
      <c r="G24" s="260">
        <v>-6.28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450.22</v>
      </c>
    </row>
    <row r="25" s="5" customFormat="1" ht="17.25" customHeight="1" spans="1:16">
      <c r="A25" s="199"/>
      <c r="B25" s="24"/>
      <c r="C25" s="25" t="s">
        <v>91</v>
      </c>
      <c r="D25" s="21">
        <v>5268.97</v>
      </c>
      <c r="E25" s="260">
        <v>3650.32</v>
      </c>
      <c r="F25" s="260">
        <v>259.76</v>
      </c>
      <c r="G25" s="260">
        <v>1929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11108.05</v>
      </c>
    </row>
    <row r="26" s="5" customFormat="1" ht="17.25" customHeight="1" spans="1:16">
      <c r="A26" s="199"/>
      <c r="B26" s="23"/>
      <c r="C26" s="25" t="s">
        <v>92</v>
      </c>
      <c r="D26" s="21">
        <v>61.44</v>
      </c>
      <c r="E26" s="260" t="s">
        <v>238</v>
      </c>
      <c r="F26" s="260">
        <v>0</v>
      </c>
      <c r="G26" s="260">
        <v>0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61.44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 t="s">
        <v>238</v>
      </c>
      <c r="F27" s="260">
        <v>0</v>
      </c>
      <c r="G27" s="260">
        <v>0</v>
      </c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 t="s">
        <v>238</v>
      </c>
      <c r="F28" s="260">
        <v>0</v>
      </c>
      <c r="G28" s="260">
        <v>80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80</v>
      </c>
    </row>
    <row r="29" s="5" customFormat="1" ht="17.25" customHeight="1" spans="1:16">
      <c r="A29" s="202"/>
      <c r="B29" s="23"/>
      <c r="C29" s="20" t="s">
        <v>97</v>
      </c>
      <c r="D29" s="21">
        <v>427</v>
      </c>
      <c r="E29" s="260" t="s">
        <v>238</v>
      </c>
      <c r="F29" s="260">
        <v>0</v>
      </c>
      <c r="G29" s="260">
        <v>0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427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480</v>
      </c>
      <c r="E30" s="260" t="s">
        <v>238</v>
      </c>
      <c r="F30" s="260">
        <v>0</v>
      </c>
      <c r="G30" s="260">
        <v>2355</v>
      </c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2835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v>886</v>
      </c>
      <c r="E31" s="260" t="s">
        <v>238</v>
      </c>
      <c r="F31" s="260">
        <v>1772</v>
      </c>
      <c r="G31" s="260">
        <v>5230</v>
      </c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7888</v>
      </c>
    </row>
    <row r="32" s="5" customFormat="1" ht="17.25" customHeight="1" spans="1:16">
      <c r="A32" s="202"/>
      <c r="B32" s="24"/>
      <c r="C32" s="25" t="s">
        <v>101</v>
      </c>
      <c r="D32" s="21"/>
      <c r="E32" s="260" t="s">
        <v>238</v>
      </c>
      <c r="F32" s="260">
        <v>0</v>
      </c>
      <c r="G32" s="260">
        <v>0</v>
      </c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 t="s">
        <v>238</v>
      </c>
      <c r="F33" s="260">
        <v>0</v>
      </c>
      <c r="G33" s="260">
        <v>0</v>
      </c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48.5</v>
      </c>
      <c r="E34" s="260" t="s">
        <v>238</v>
      </c>
      <c r="F34" s="260">
        <v>50</v>
      </c>
      <c r="G34" s="260">
        <v>1610.84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1709.34</v>
      </c>
    </row>
    <row r="35" s="5" customFormat="1" ht="17.25" customHeight="1" spans="1:16">
      <c r="A35" s="202"/>
      <c r="B35" s="23"/>
      <c r="C35" s="25" t="s">
        <v>105</v>
      </c>
      <c r="D35" s="21"/>
      <c r="E35" s="260" t="s">
        <v>238</v>
      </c>
      <c r="F35" s="260">
        <v>0</v>
      </c>
      <c r="G35" s="260">
        <v>0</v>
      </c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500</v>
      </c>
      <c r="E36" s="260" t="s">
        <v>238</v>
      </c>
      <c r="F36" s="260">
        <v>1392.36</v>
      </c>
      <c r="G36" s="260">
        <v>2394.96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4287.32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13878</v>
      </c>
      <c r="E37" s="260">
        <v>2000</v>
      </c>
      <c r="F37" s="260">
        <v>-1802</v>
      </c>
      <c r="G37" s="260">
        <v>13200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27276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 t="s">
        <v>238</v>
      </c>
      <c r="F38" s="260">
        <v>0</v>
      </c>
      <c r="G38" s="260">
        <v>0</v>
      </c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 t="s">
        <v>238</v>
      </c>
      <c r="F39" s="260">
        <v>0</v>
      </c>
      <c r="G39" s="260">
        <v>0</v>
      </c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 t="s">
        <v>238</v>
      </c>
      <c r="F40" s="260">
        <v>0</v>
      </c>
      <c r="G40" s="260">
        <v>0</v>
      </c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6529.1</v>
      </c>
      <c r="E41" s="260">
        <v>-18.41</v>
      </c>
      <c r="F41" s="260">
        <v>2198.48</v>
      </c>
      <c r="G41" s="260">
        <v>834.47</v>
      </c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9543.64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 t="s">
        <v>238</v>
      </c>
      <c r="F42" s="260">
        <v>0</v>
      </c>
      <c r="G42" s="260">
        <v>0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v>300</v>
      </c>
      <c r="E43" s="260" t="s">
        <v>238</v>
      </c>
      <c r="F43" s="260">
        <v>0</v>
      </c>
      <c r="G43" s="260">
        <v>0</v>
      </c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300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 t="s">
        <v>238</v>
      </c>
      <c r="F44" s="260">
        <v>0</v>
      </c>
      <c r="G44" s="260">
        <v>24622.64</v>
      </c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24622.64</v>
      </c>
    </row>
    <row r="45" s="5" customFormat="1" ht="17.25" customHeight="1" spans="1:16">
      <c r="A45" s="205"/>
      <c r="B45" s="23"/>
      <c r="C45" s="206" t="s">
        <v>118</v>
      </c>
      <c r="D45" s="21"/>
      <c r="E45" s="260" t="s">
        <v>238</v>
      </c>
      <c r="F45" s="260">
        <v>0</v>
      </c>
      <c r="G45" s="260">
        <v>0</v>
      </c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79635.47</v>
      </c>
      <c r="E46" s="260">
        <v>79635.35</v>
      </c>
      <c r="F46" s="260">
        <v>79635.46</v>
      </c>
      <c r="G46" s="260">
        <v>79635.36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318541.64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4301.34</v>
      </c>
      <c r="E47" s="260">
        <v>4301.33</v>
      </c>
      <c r="F47" s="260">
        <v>4301.34</v>
      </c>
      <c r="G47" s="260">
        <v>4301.33</v>
      </c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17205.34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 t="s">
        <v>238</v>
      </c>
      <c r="F48" s="260">
        <v>0</v>
      </c>
      <c r="G48" s="260">
        <v>0</v>
      </c>
      <c r="H48" s="307"/>
      <c r="I48" s="307"/>
      <c r="J48" s="307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 t="s">
        <v>238</v>
      </c>
      <c r="F49" s="260">
        <v>0</v>
      </c>
      <c r="G49" s="260">
        <v>0</v>
      </c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 t="s">
        <v>238</v>
      </c>
      <c r="F50" s="260">
        <v>0</v>
      </c>
      <c r="G50" s="260">
        <v>0</v>
      </c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 t="s">
        <v>238</v>
      </c>
      <c r="F51" s="260">
        <v>0</v>
      </c>
      <c r="G51" s="260">
        <v>0</v>
      </c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 t="s">
        <v>238</v>
      </c>
      <c r="F52" s="260">
        <v>0</v>
      </c>
      <c r="G52" s="260">
        <v>5937.6</v>
      </c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5937.6</v>
      </c>
    </row>
    <row r="53" s="5" customFormat="1" ht="17.25" customHeight="1" spans="1:16">
      <c r="A53" s="211"/>
      <c r="B53" s="24"/>
      <c r="C53" s="207" t="s">
        <v>128</v>
      </c>
      <c r="D53" s="21">
        <v>-6332.07</v>
      </c>
      <c r="E53" s="260" t="s">
        <v>238</v>
      </c>
      <c r="F53" s="260">
        <v>0</v>
      </c>
      <c r="G53" s="260">
        <v>0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-6332.07</v>
      </c>
    </row>
    <row r="54" s="5" customFormat="1" ht="17.25" customHeight="1" spans="1:16">
      <c r="A54" s="211"/>
      <c r="B54" s="23"/>
      <c r="C54" s="207" t="s">
        <v>83</v>
      </c>
      <c r="D54" s="21"/>
      <c r="E54" s="260" t="s">
        <v>238</v>
      </c>
      <c r="F54" s="260">
        <v>0</v>
      </c>
      <c r="G54" s="260">
        <v>0</v>
      </c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 t="s">
        <v>238</v>
      </c>
      <c r="F55" s="260">
        <v>0</v>
      </c>
      <c r="G55" s="260">
        <v>0</v>
      </c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 t="s">
        <v>238</v>
      </c>
      <c r="F56" s="260">
        <v>0</v>
      </c>
      <c r="G56" s="260">
        <v>0</v>
      </c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 t="s">
        <v>238</v>
      </c>
      <c r="F57" s="260">
        <v>0</v>
      </c>
      <c r="G57" s="260">
        <v>0</v>
      </c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 t="s">
        <v>238</v>
      </c>
      <c r="F58" s="260">
        <v>0</v>
      </c>
      <c r="G58" s="260">
        <v>0</v>
      </c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 t="s">
        <v>238</v>
      </c>
      <c r="F59" s="260">
        <v>0</v>
      </c>
      <c r="G59" s="260">
        <v>0</v>
      </c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 t="s">
        <v>238</v>
      </c>
      <c r="F60" s="260">
        <v>0</v>
      </c>
      <c r="G60" s="260">
        <v>0</v>
      </c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 t="s">
        <v>238</v>
      </c>
      <c r="F61" s="260">
        <v>0</v>
      </c>
      <c r="G61" s="260">
        <v>0</v>
      </c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 t="s">
        <v>238</v>
      </c>
      <c r="F62" s="260">
        <v>0</v>
      </c>
      <c r="G62" s="260">
        <v>0</v>
      </c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 t="s">
        <v>238</v>
      </c>
      <c r="F63" s="260">
        <v>0</v>
      </c>
      <c r="G63" s="260">
        <v>0</v>
      </c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 t="s">
        <v>238</v>
      </c>
      <c r="F64" s="260">
        <v>0</v>
      </c>
      <c r="G64" s="260">
        <v>0</v>
      </c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 t="s">
        <v>238</v>
      </c>
      <c r="F65" s="260">
        <v>0</v>
      </c>
      <c r="G65" s="260">
        <v>0</v>
      </c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 t="s">
        <v>238</v>
      </c>
      <c r="F66" s="260">
        <v>0</v>
      </c>
      <c r="G66" s="260">
        <v>0</v>
      </c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 t="s">
        <v>238</v>
      </c>
      <c r="F67" s="260">
        <v>0</v>
      </c>
      <c r="G67" s="260">
        <v>0</v>
      </c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 t="s">
        <v>238</v>
      </c>
      <c r="F68" s="260">
        <v>0</v>
      </c>
      <c r="G68" s="260">
        <v>0</v>
      </c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 t="s">
        <v>238</v>
      </c>
      <c r="F69" s="260">
        <v>0</v>
      </c>
      <c r="G69" s="260">
        <v>0</v>
      </c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134.72</v>
      </c>
      <c r="E70" s="260" t="s">
        <v>238</v>
      </c>
      <c r="F70" s="260">
        <v>0</v>
      </c>
      <c r="G70" s="260">
        <v>34.91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169.63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 t="s">
        <v>238</v>
      </c>
      <c r="F71" s="260">
        <v>0</v>
      </c>
      <c r="G71" s="260">
        <v>0</v>
      </c>
      <c r="H71" s="260"/>
      <c r="I71" s="260"/>
      <c r="J71" s="260"/>
      <c r="K71" s="260"/>
      <c r="L71" s="260"/>
      <c r="M71" s="260"/>
      <c r="N71" s="260"/>
      <c r="O71" s="260"/>
      <c r="P71" s="47">
        <f t="shared" ref="P71:P97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 t="s">
        <v>238</v>
      </c>
      <c r="F72" s="260">
        <v>0</v>
      </c>
      <c r="G72" s="260">
        <v>0</v>
      </c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 t="s">
        <v>238</v>
      </c>
      <c r="F73" s="260">
        <v>0</v>
      </c>
      <c r="G73" s="260">
        <v>0</v>
      </c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 t="s">
        <v>238</v>
      </c>
      <c r="F74" s="260">
        <v>0</v>
      </c>
      <c r="G74" s="260">
        <v>0</v>
      </c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>
        <v>300</v>
      </c>
      <c r="E75" s="260" t="s">
        <v>238</v>
      </c>
      <c r="F75" s="260">
        <v>0</v>
      </c>
      <c r="G75" s="260">
        <v>300</v>
      </c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600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 t="s">
        <v>238</v>
      </c>
      <c r="F76" s="260">
        <v>0</v>
      </c>
      <c r="G76" s="260">
        <v>0</v>
      </c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 t="s">
        <v>238</v>
      </c>
      <c r="F77" s="260">
        <v>0</v>
      </c>
      <c r="G77" s="260">
        <v>3000</v>
      </c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3000</v>
      </c>
    </row>
    <row r="78" s="5" customFormat="1" ht="17.25" customHeight="1" spans="1:16">
      <c r="A78" s="221"/>
      <c r="B78" s="23"/>
      <c r="C78" s="218" t="s">
        <v>158</v>
      </c>
      <c r="D78" s="21"/>
      <c r="E78" s="260">
        <v>-2000</v>
      </c>
      <c r="F78" s="260">
        <v>0</v>
      </c>
      <c r="G78" s="260">
        <v>0</v>
      </c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-2000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 t="s">
        <v>238</v>
      </c>
      <c r="F79" s="260">
        <v>0</v>
      </c>
      <c r="G79" s="260">
        <v>0</v>
      </c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v>145.52</v>
      </c>
      <c r="E80" s="260">
        <v>11275.46</v>
      </c>
      <c r="F80" s="260">
        <v>2000.92</v>
      </c>
      <c r="G80" s="260">
        <v>-1205.77</v>
      </c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12216.13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v>5660.38</v>
      </c>
      <c r="E81" s="260" t="s">
        <v>238</v>
      </c>
      <c r="F81" s="260">
        <v>5006.32</v>
      </c>
      <c r="G81" s="260">
        <v>85595.56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96262.26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>
        <v>9244.61</v>
      </c>
      <c r="E82" s="260" t="s">
        <v>238</v>
      </c>
      <c r="F82" s="260">
        <v>6240</v>
      </c>
      <c r="G82" s="260">
        <v>6800</v>
      </c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22284.61</v>
      </c>
    </row>
    <row r="83" s="5" customFormat="1" ht="17.25" customHeight="1" spans="1:16">
      <c r="A83" s="224"/>
      <c r="B83" s="24"/>
      <c r="C83" s="25" t="s">
        <v>165</v>
      </c>
      <c r="D83" s="21">
        <v>42000</v>
      </c>
      <c r="E83" s="260">
        <v>47267.27</v>
      </c>
      <c r="F83" s="260">
        <v>21246.02</v>
      </c>
      <c r="G83" s="260">
        <v>223558.41</v>
      </c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334071.7</v>
      </c>
    </row>
    <row r="84" s="5" customFormat="1" ht="17.25" customHeight="1" spans="1:16">
      <c r="A84" s="224"/>
      <c r="B84" s="23"/>
      <c r="C84" s="25" t="s">
        <v>166</v>
      </c>
      <c r="D84" s="21"/>
      <c r="E84" s="260" t="s">
        <v>238</v>
      </c>
      <c r="F84" s="260">
        <v>0</v>
      </c>
      <c r="G84" s="260">
        <v>0</v>
      </c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 t="s">
        <v>238</v>
      </c>
      <c r="F85" s="260">
        <v>0</v>
      </c>
      <c r="G85" s="260">
        <v>0</v>
      </c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 t="s">
        <v>238</v>
      </c>
      <c r="F86" s="260">
        <v>0</v>
      </c>
      <c r="G86" s="260">
        <v>0</v>
      </c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 t="s">
        <v>238</v>
      </c>
      <c r="F87" s="260">
        <v>0</v>
      </c>
      <c r="G87" s="260">
        <v>0</v>
      </c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 t="s">
        <v>238</v>
      </c>
      <c r="F88" s="260">
        <v>0</v>
      </c>
      <c r="G88" s="260">
        <v>0</v>
      </c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 t="s">
        <v>238</v>
      </c>
      <c r="F89" s="260">
        <v>0</v>
      </c>
      <c r="G89" s="260">
        <v>0</v>
      </c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 t="s">
        <v>238</v>
      </c>
      <c r="F90" s="260">
        <v>0</v>
      </c>
      <c r="G90" s="260">
        <v>0</v>
      </c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 t="s">
        <v>238</v>
      </c>
      <c r="F91" s="260">
        <v>0</v>
      </c>
      <c r="G91" s="260">
        <v>0</v>
      </c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60" t="s">
        <v>238</v>
      </c>
      <c r="F92" s="260">
        <v>0</v>
      </c>
      <c r="G92" s="260">
        <v>1063.37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1063.37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311760.18</v>
      </c>
      <c r="E93" s="58">
        <f t="shared" ref="E93:P93" si="2">SUM(E6:E92)</f>
        <v>248920.8</v>
      </c>
      <c r="F93" s="58">
        <f t="shared" si="2"/>
        <v>240088.53</v>
      </c>
      <c r="G93" s="58">
        <f>SUM(G6:G92)</f>
        <v>705341.25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1506110.76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311760.18</v>
      </c>
      <c r="E96" s="46">
        <f t="shared" ref="E96:O96" si="3">E93</f>
        <v>248920.8</v>
      </c>
      <c r="F96" s="46">
        <f t="shared" si="3"/>
        <v>240088.53</v>
      </c>
      <c r="G96" s="46">
        <f t="shared" si="3"/>
        <v>705341.25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1506110.76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24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>
        <f t="shared" ref="Q98:X98" si="4">Q93</f>
        <v>0</v>
      </c>
      <c r="R98" s="46">
        <f t="shared" si="4"/>
        <v>0</v>
      </c>
      <c r="S98" s="46">
        <f t="shared" si="4"/>
        <v>0</v>
      </c>
      <c r="T98" s="46">
        <f t="shared" si="4"/>
        <v>0</v>
      </c>
      <c r="U98" s="46">
        <f t="shared" si="4"/>
        <v>0</v>
      </c>
      <c r="V98" s="46">
        <f t="shared" si="4"/>
        <v>0</v>
      </c>
      <c r="W98" s="46">
        <f t="shared" si="4"/>
        <v>0</v>
      </c>
      <c r="X98" s="46">
        <f t="shared" si="4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5">IF(SUM(E94:E98)=E93,"ok","no")</f>
        <v>ok</v>
      </c>
      <c r="F100" s="90" t="str">
        <f t="shared" si="5"/>
        <v>ok</v>
      </c>
      <c r="G100" s="90" t="str">
        <f t="shared" si="5"/>
        <v>ok</v>
      </c>
      <c r="H100" s="90" t="str">
        <f t="shared" si="5"/>
        <v>ok</v>
      </c>
      <c r="I100" s="90" t="str">
        <f t="shared" si="5"/>
        <v>ok</v>
      </c>
      <c r="J100" s="90" t="str">
        <f t="shared" si="5"/>
        <v>ok</v>
      </c>
      <c r="K100" s="90" t="str">
        <f t="shared" si="5"/>
        <v>ok</v>
      </c>
      <c r="L100" s="90" t="str">
        <f t="shared" si="5"/>
        <v>ok</v>
      </c>
      <c r="M100" s="90" t="str">
        <f t="shared" si="5"/>
        <v>ok</v>
      </c>
      <c r="N100" s="90" t="str">
        <f t="shared" si="5"/>
        <v>ok</v>
      </c>
      <c r="O100" s="90" t="str">
        <f t="shared" si="5"/>
        <v>ok</v>
      </c>
      <c r="P100" s="90" t="str">
        <f t="shared" si="5"/>
        <v>ok</v>
      </c>
    </row>
    <row r="101" s="6" customFormat="1" customHeight="1" spans="4:4">
      <c r="D101" s="259"/>
    </row>
    <row r="102" spans="6:6">
      <c r="F102" s="266">
        <v>240088.53</v>
      </c>
    </row>
    <row r="103" spans="16:16">
      <c r="P103" s="242"/>
    </row>
    <row r="104" spans="16:16">
      <c r="P104" s="80"/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239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v>74052</v>
      </c>
      <c r="E6" s="260">
        <v>95404.33</v>
      </c>
      <c r="F6" s="260">
        <v>69647</v>
      </c>
      <c r="G6" s="260">
        <v>45854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284957.33</v>
      </c>
      <c r="Q6" s="48">
        <f>P6+P7+P8+P19+P22+P23+P24+P25+P26</f>
        <v>481180.17</v>
      </c>
      <c r="R6" s="48">
        <f>Q6+'X-高新'!Q6+'Z-高新'!Q6+'Y-高新'!Q6</f>
        <v>481180.17</v>
      </c>
      <c r="S6" s="48">
        <f>R6/10000</f>
        <v>48.118017</v>
      </c>
    </row>
    <row r="7" s="5" customFormat="1" ht="17.25" customHeight="1" spans="1:16">
      <c r="A7" s="199"/>
      <c r="B7" s="23"/>
      <c r="C7" s="20" t="s">
        <v>71</v>
      </c>
      <c r="D7" s="21">
        <v>43975.01</v>
      </c>
      <c r="E7" s="260">
        <v>40723.08</v>
      </c>
      <c r="F7" s="260">
        <v>43994.67</v>
      </c>
      <c r="G7" s="260">
        <v>43993.34</v>
      </c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172686.1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>
        <v>100</v>
      </c>
      <c r="F14" s="260">
        <v>100</v>
      </c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200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4120</v>
      </c>
      <c r="E19" s="260">
        <v>4120</v>
      </c>
      <c r="F19" s="260">
        <v>5620</v>
      </c>
      <c r="G19" s="260">
        <v>2620</v>
      </c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16480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1734.72</v>
      </c>
      <c r="E22" s="260">
        <v>640</v>
      </c>
      <c r="F22" s="260">
        <v>1280</v>
      </c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3654.72</v>
      </c>
    </row>
    <row r="23" s="5" customFormat="1" ht="17.25" customHeight="1" spans="1:16">
      <c r="A23" s="199"/>
      <c r="B23" s="24"/>
      <c r="C23" s="25" t="s">
        <v>89</v>
      </c>
      <c r="D23" s="21">
        <v>62.21</v>
      </c>
      <c r="E23" s="260">
        <v>28</v>
      </c>
      <c r="F23" s="260">
        <v>90.21</v>
      </c>
      <c r="G23" s="260">
        <v>-34.21</v>
      </c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146.21</v>
      </c>
    </row>
    <row r="24" s="5" customFormat="1" ht="17.25" customHeight="1" spans="1:16">
      <c r="A24" s="199"/>
      <c r="B24" s="24"/>
      <c r="C24" s="25" t="s">
        <v>90</v>
      </c>
      <c r="D24" s="21">
        <v>48.39</v>
      </c>
      <c r="E24" s="260">
        <v>9.6</v>
      </c>
      <c r="F24" s="260">
        <v>27.2</v>
      </c>
      <c r="G24" s="260">
        <v>16</v>
      </c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101.19</v>
      </c>
    </row>
    <row r="25" s="5" customFormat="1" ht="17.25" customHeight="1" spans="1:16">
      <c r="A25" s="199"/>
      <c r="B25" s="24"/>
      <c r="C25" s="25" t="s">
        <v>91</v>
      </c>
      <c r="D25" s="21">
        <v>831.77</v>
      </c>
      <c r="E25" s="260">
        <v>320</v>
      </c>
      <c r="F25" s="260">
        <v>1414.65</v>
      </c>
      <c r="G25" s="260">
        <v>262.88</v>
      </c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2829.3</v>
      </c>
    </row>
    <row r="26" s="5" customFormat="1" ht="17.25" customHeight="1" spans="1:16">
      <c r="A26" s="199"/>
      <c r="B26" s="23"/>
      <c r="C26" s="25" t="s">
        <v>92</v>
      </c>
      <c r="D26" s="21">
        <v>99.11</v>
      </c>
      <c r="E26" s="260">
        <v>28</v>
      </c>
      <c r="F26" s="260">
        <v>162.66</v>
      </c>
      <c r="G26" s="260">
        <v>35.55</v>
      </c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325.32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>
        <v>354.7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354.7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60"/>
      <c r="F34" s="260"/>
      <c r="G34" s="260">
        <v>200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200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60"/>
      <c r="F37" s="260">
        <v>277</v>
      </c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277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60"/>
      <c r="G48" s="260"/>
      <c r="H48" s="307"/>
      <c r="I48" s="307"/>
      <c r="J48" s="260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/>
      <c r="F53" s="260"/>
      <c r="G53" s="260">
        <v>7425.74</v>
      </c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7425.74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>
        <v>50</v>
      </c>
      <c r="E92" s="21">
        <v>50</v>
      </c>
      <c r="F92" s="260">
        <v>100</v>
      </c>
      <c r="G92" s="260">
        <v>3363.43</v>
      </c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3563.43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124973.21</v>
      </c>
      <c r="E93" s="58">
        <f t="shared" ref="E93:P93" si="2">SUM(E6:E92)</f>
        <v>141423.01</v>
      </c>
      <c r="F93" s="58">
        <f t="shared" si="2"/>
        <v>122713.39</v>
      </c>
      <c r="G93" s="58">
        <f>SUM(G6:G92)</f>
        <v>104091.43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493201.04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124973.21</v>
      </c>
      <c r="E96" s="46">
        <f t="shared" ref="E96:O96" si="3">E93</f>
        <v>141423.01</v>
      </c>
      <c r="F96" s="46">
        <f t="shared" si="3"/>
        <v>122713.39</v>
      </c>
      <c r="G96" s="46">
        <f t="shared" si="3"/>
        <v>104091.43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493201.04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7">
        <f t="shared" si="1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4">
      <c r="D101" s="259"/>
    </row>
    <row r="103" spans="7:16">
      <c r="G103" s="6"/>
      <c r="P103" s="242">
        <v>32288242.86</v>
      </c>
    </row>
    <row r="104" spans="7:16">
      <c r="G104" s="6"/>
      <c r="P104" s="80">
        <f>P103-P93</f>
        <v>31795041.82</v>
      </c>
    </row>
    <row r="105" s="6" customFormat="1" ht="12" spans="4:7">
      <c r="D105" s="241"/>
      <c r="E105" s="241"/>
      <c r="F105" s="241"/>
      <c r="G105" s="241"/>
    </row>
    <row r="106" spans="7:7">
      <c r="G106" s="6"/>
    </row>
    <row r="107" spans="7:7">
      <c r="G107" s="6"/>
    </row>
    <row r="108" spans="6:7">
      <c r="F108" s="157"/>
      <c r="G108" s="6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309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autoFilter ref="A5:S100">
    <extLst/>
  </autoFilter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86" activePane="bottomRight" state="frozen"/>
      <selection/>
      <selection pane="topRight"/>
      <selection pane="bottomLeft"/>
      <selection pane="bottomRight" activeCell="G103" sqref="G10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240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47">
        <f>SUM(D6:O6)</f>
        <v>0</v>
      </c>
      <c r="Q6" s="48">
        <f>P6+P7+P8+P19+P22+P23+P24+P25+P26</f>
        <v>0</v>
      </c>
      <c r="R6" s="48">
        <f>Q6+'X-高新'!Q6+'Z-高新'!Q6+'Y-高新'!Q6</f>
        <v>0</v>
      </c>
      <c r="S6" s="48">
        <f>R6/10000</f>
        <v>0</v>
      </c>
    </row>
    <row r="7" s="5" customFormat="1" ht="17.25" customHeigh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60"/>
      <c r="G13" s="260"/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/>
      <c r="F20" s="260"/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/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60"/>
      <c r="G29" s="260"/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60"/>
      <c r="F37" s="260"/>
      <c r="G37" s="260"/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60"/>
      <c r="G48" s="260"/>
      <c r="H48" s="307"/>
      <c r="I48" s="307"/>
      <c r="J48" s="260"/>
      <c r="K48" s="307"/>
      <c r="L48" s="307"/>
      <c r="M48" s="307"/>
      <c r="N48" s="307"/>
      <c r="O48" s="307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8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f>D93</f>
        <v>0</v>
      </c>
      <c r="E96" s="46">
        <f t="shared" ref="E96:O96" si="3">E93</f>
        <v>0</v>
      </c>
      <c r="F96" s="46">
        <f t="shared" si="3"/>
        <v>0</v>
      </c>
      <c r="G96" s="46">
        <f t="shared" si="3"/>
        <v>0</v>
      </c>
      <c r="H96" s="46">
        <f t="shared" si="3"/>
        <v>0</v>
      </c>
      <c r="I96" s="46">
        <f t="shared" si="3"/>
        <v>0</v>
      </c>
      <c r="J96" s="46">
        <f t="shared" si="3"/>
        <v>0</v>
      </c>
      <c r="K96" s="46">
        <f t="shared" si="3"/>
        <v>0</v>
      </c>
      <c r="L96" s="46">
        <f t="shared" si="3"/>
        <v>0</v>
      </c>
      <c r="M96" s="46">
        <f t="shared" si="3"/>
        <v>0</v>
      </c>
      <c r="N96" s="46">
        <f t="shared" si="3"/>
        <v>0</v>
      </c>
      <c r="O96" s="46">
        <f t="shared" si="3"/>
        <v>0</v>
      </c>
      <c r="P96" s="47">
        <f t="shared" si="1"/>
        <v>0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7">
        <f t="shared" si="1"/>
        <v>0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4">
      <c r="D101" s="259"/>
    </row>
    <row r="102" spans="6:6">
      <c r="F102" s="157"/>
    </row>
    <row r="103" spans="16:16">
      <c r="P103" s="242">
        <v>32288242.86</v>
      </c>
    </row>
    <row r="104" spans="16:16">
      <c r="P104" s="80">
        <f>P103-P93</f>
        <v>32288242.86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1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6.5" style="10" customWidth="1"/>
    <col min="17" max="17" width="22" style="10" customWidth="1"/>
    <col min="18" max="18" width="19.5" style="10" customWidth="1"/>
    <col min="19" max="19" width="13.25" style="10" customWidth="1"/>
    <col min="20" max="16384" width="9" style="10"/>
  </cols>
  <sheetData>
    <row r="1" s="1" customFormat="1" ht="28.5" customHeight="1" spans="1:6">
      <c r="A1" s="69" t="s">
        <v>241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合并管理费用表09!A3</f>
        <v>编制期间：2020年4月</v>
      </c>
      <c r="E3" s="192"/>
      <c r="F3" s="193"/>
    </row>
    <row r="4" s="187" customFormat="1" ht="21.75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21.75" customHeight="1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/>
      <c r="E6" s="260"/>
      <c r="F6" s="260">
        <v>40394.58</v>
      </c>
      <c r="G6" s="260">
        <v>60000</v>
      </c>
      <c r="H6" s="260"/>
      <c r="I6" s="260"/>
      <c r="J6" s="260"/>
      <c r="K6" s="260"/>
      <c r="L6" s="260"/>
      <c r="M6" s="260"/>
      <c r="N6" s="260"/>
      <c r="O6" s="260"/>
      <c r="P6" s="47">
        <f>SUM(D6:O6)</f>
        <v>100394.58</v>
      </c>
      <c r="Q6" s="48">
        <f>P6+P7+P8+P19+P22+P23+P24+P25+P26</f>
        <v>101444.58</v>
      </c>
      <c r="R6" s="48">
        <f>Q6+'X-高新'!Q6+'Z-高新'!Q6+'Y-高新'!Q6</f>
        <v>101444.58</v>
      </c>
      <c r="S6" s="48">
        <f>R6/10000</f>
        <v>10.144458</v>
      </c>
    </row>
    <row r="7" s="5" customFormat="1" ht="17.25" customHeight="1" spans="1:16">
      <c r="A7" s="199"/>
      <c r="B7" s="23"/>
      <c r="C7" s="20" t="s">
        <v>71</v>
      </c>
      <c r="D7" s="21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60"/>
      <c r="F8" s="260"/>
      <c r="G8" s="260">
        <v>1050</v>
      </c>
      <c r="H8" s="260"/>
      <c r="I8" s="260"/>
      <c r="J8" s="260"/>
      <c r="K8" s="260"/>
      <c r="L8" s="260"/>
      <c r="M8" s="260"/>
      <c r="N8" s="260"/>
      <c r="O8" s="260"/>
      <c r="P8" s="47">
        <f t="shared" si="0"/>
        <v>1050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60">
        <f>30446.57+39313.73</f>
        <v>69760.3</v>
      </c>
      <c r="G11" s="260">
        <v>900</v>
      </c>
      <c r="H11" s="260"/>
      <c r="I11" s="260"/>
      <c r="J11" s="260"/>
      <c r="K11" s="260"/>
      <c r="L11" s="260"/>
      <c r="M11" s="260"/>
      <c r="N11" s="260"/>
      <c r="O11" s="260"/>
      <c r="P11" s="47">
        <f t="shared" si="0"/>
        <v>70660.3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60">
        <v>215</v>
      </c>
      <c r="G13" s="260">
        <v>338</v>
      </c>
      <c r="H13" s="260"/>
      <c r="I13" s="260"/>
      <c r="J13" s="260"/>
      <c r="K13" s="260"/>
      <c r="L13" s="260"/>
      <c r="M13" s="260"/>
      <c r="N13" s="260"/>
      <c r="O13" s="260"/>
      <c r="P13" s="47">
        <f t="shared" si="0"/>
        <v>553</v>
      </c>
    </row>
    <row r="14" s="5" customFormat="1" ht="17.25" customHeight="1" spans="1:16">
      <c r="A14" s="199"/>
      <c r="B14" s="24"/>
      <c r="C14" s="20" t="s">
        <v>79</v>
      </c>
      <c r="D14" s="21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60"/>
      <c r="G17" s="260">
        <v>72.58</v>
      </c>
      <c r="H17" s="260"/>
      <c r="I17" s="260"/>
      <c r="J17" s="260"/>
      <c r="K17" s="260"/>
      <c r="L17" s="260"/>
      <c r="M17" s="260"/>
      <c r="N17" s="260"/>
      <c r="O17" s="260"/>
      <c r="P17" s="47">
        <f t="shared" si="0"/>
        <v>72.58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60">
        <v>1435.6</v>
      </c>
      <c r="G18" s="260">
        <v>1010.6</v>
      </c>
      <c r="H18" s="260"/>
      <c r="I18" s="260"/>
      <c r="J18" s="260"/>
      <c r="K18" s="260"/>
      <c r="L18" s="260"/>
      <c r="M18" s="260"/>
      <c r="N18" s="260"/>
      <c r="O18" s="260"/>
      <c r="P18" s="47">
        <f t="shared" si="0"/>
        <v>2446.2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60"/>
      <c r="F19" s="260"/>
      <c r="G19" s="260"/>
      <c r="H19" s="260"/>
      <c r="I19" s="260"/>
      <c r="J19" s="260"/>
      <c r="K19" s="260"/>
      <c r="L19" s="260"/>
      <c r="M19" s="260"/>
      <c r="N19" s="260"/>
      <c r="O19" s="260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/>
      <c r="F20" s="260">
        <v>764.4</v>
      </c>
      <c r="G20" s="260"/>
      <c r="H20" s="260"/>
      <c r="I20" s="260"/>
      <c r="J20" s="260"/>
      <c r="K20" s="260"/>
      <c r="L20" s="260"/>
      <c r="M20" s="260"/>
      <c r="N20" s="260"/>
      <c r="O20" s="260"/>
      <c r="P20" s="47">
        <f t="shared" si="0"/>
        <v>764.4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60"/>
      <c r="G21" s="260"/>
      <c r="H21" s="260"/>
      <c r="I21" s="260"/>
      <c r="J21" s="260"/>
      <c r="K21" s="260"/>
      <c r="L21" s="260"/>
      <c r="M21" s="260"/>
      <c r="N21" s="260"/>
      <c r="O21" s="260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60"/>
      <c r="F22" s="260"/>
      <c r="G22" s="260"/>
      <c r="H22" s="260"/>
      <c r="I22" s="260"/>
      <c r="J22" s="260"/>
      <c r="K22" s="260"/>
      <c r="L22" s="260"/>
      <c r="M22" s="260"/>
      <c r="N22" s="260"/>
      <c r="O22" s="260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60"/>
      <c r="F23" s="260"/>
      <c r="G23" s="260"/>
      <c r="H23" s="260"/>
      <c r="I23" s="260"/>
      <c r="J23" s="260"/>
      <c r="K23" s="260"/>
      <c r="L23" s="260"/>
      <c r="M23" s="260"/>
      <c r="N23" s="260"/>
      <c r="O23" s="260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0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60"/>
      <c r="G27" s="260"/>
      <c r="H27" s="260"/>
      <c r="I27" s="260"/>
      <c r="J27" s="260"/>
      <c r="K27" s="260"/>
      <c r="L27" s="260"/>
      <c r="M27" s="260"/>
      <c r="N27" s="260"/>
      <c r="O27" s="260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60"/>
      <c r="G28" s="260">
        <v>250</v>
      </c>
      <c r="H28" s="260"/>
      <c r="I28" s="260"/>
      <c r="J28" s="260"/>
      <c r="K28" s="260"/>
      <c r="L28" s="260"/>
      <c r="M28" s="260"/>
      <c r="N28" s="260"/>
      <c r="O28" s="260"/>
      <c r="P28" s="47">
        <f t="shared" si="0"/>
        <v>250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60">
        <v>11861.78</v>
      </c>
      <c r="G29" s="260">
        <v>1622.47</v>
      </c>
      <c r="H29" s="260"/>
      <c r="I29" s="260"/>
      <c r="J29" s="260"/>
      <c r="K29" s="260"/>
      <c r="L29" s="260"/>
      <c r="M29" s="260"/>
      <c r="N29" s="260"/>
      <c r="O29" s="260"/>
      <c r="P29" s="47">
        <f t="shared" si="0"/>
        <v>13484.25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60"/>
      <c r="G30" s="260"/>
      <c r="H30" s="260"/>
      <c r="I30" s="260"/>
      <c r="J30" s="260"/>
      <c r="K30" s="260"/>
      <c r="L30" s="260"/>
      <c r="M30" s="260"/>
      <c r="N30" s="260"/>
      <c r="O30" s="260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60"/>
      <c r="G32" s="260"/>
      <c r="H32" s="260"/>
      <c r="I32" s="260"/>
      <c r="J32" s="260"/>
      <c r="K32" s="260"/>
      <c r="L32" s="260"/>
      <c r="M32" s="260"/>
      <c r="N32" s="260"/>
      <c r="O32" s="260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60"/>
      <c r="G33" s="260"/>
      <c r="H33" s="260"/>
      <c r="I33" s="260"/>
      <c r="J33" s="260"/>
      <c r="K33" s="260"/>
      <c r="L33" s="260"/>
      <c r="M33" s="260"/>
      <c r="N33" s="260"/>
      <c r="O33" s="260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60"/>
      <c r="F34" s="260">
        <v>8324.59</v>
      </c>
      <c r="G34" s="260">
        <v>1928.5</v>
      </c>
      <c r="H34" s="260"/>
      <c r="I34" s="260"/>
      <c r="J34" s="260"/>
      <c r="K34" s="260"/>
      <c r="L34" s="260"/>
      <c r="M34" s="260"/>
      <c r="N34" s="260"/>
      <c r="O34" s="260"/>
      <c r="P34" s="47">
        <f t="shared" si="0"/>
        <v>10253.09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60"/>
      <c r="G36" s="260">
        <v>989</v>
      </c>
      <c r="H36" s="260"/>
      <c r="I36" s="260"/>
      <c r="J36" s="260"/>
      <c r="K36" s="260"/>
      <c r="L36" s="260"/>
      <c r="M36" s="260"/>
      <c r="N36" s="260"/>
      <c r="O36" s="260"/>
      <c r="P36" s="47">
        <f t="shared" si="0"/>
        <v>989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60"/>
      <c r="F37" s="260">
        <v>3484</v>
      </c>
      <c r="G37" s="260">
        <v>7404</v>
      </c>
      <c r="H37" s="260"/>
      <c r="I37" s="260"/>
      <c r="J37" s="260"/>
      <c r="K37" s="260"/>
      <c r="L37" s="260"/>
      <c r="M37" s="260"/>
      <c r="N37" s="260"/>
      <c r="O37" s="260"/>
      <c r="P37" s="47">
        <f t="shared" si="0"/>
        <v>10888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60"/>
      <c r="G38" s="260"/>
      <c r="H38" s="260"/>
      <c r="I38" s="260"/>
      <c r="J38" s="260"/>
      <c r="K38" s="260"/>
      <c r="L38" s="260"/>
      <c r="M38" s="260"/>
      <c r="N38" s="260"/>
      <c r="O38" s="260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0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60"/>
      <c r="G40" s="260"/>
      <c r="H40" s="260"/>
      <c r="I40" s="260"/>
      <c r="J40" s="260"/>
      <c r="K40" s="260"/>
      <c r="L40" s="260"/>
      <c r="M40" s="260"/>
      <c r="N40" s="260"/>
      <c r="O40" s="260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60"/>
      <c r="G41" s="260"/>
      <c r="H41" s="260"/>
      <c r="I41" s="260"/>
      <c r="J41" s="260"/>
      <c r="K41" s="260"/>
      <c r="L41" s="260"/>
      <c r="M41" s="260"/>
      <c r="N41" s="260"/>
      <c r="O41" s="260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60"/>
      <c r="G42" s="260">
        <v>900</v>
      </c>
      <c r="H42" s="260"/>
      <c r="I42" s="260"/>
      <c r="J42" s="260"/>
      <c r="K42" s="260"/>
      <c r="L42" s="260"/>
      <c r="M42" s="260"/>
      <c r="N42" s="260"/>
      <c r="O42" s="260"/>
      <c r="P42" s="47">
        <f t="shared" si="0"/>
        <v>900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60"/>
      <c r="F46" s="260"/>
      <c r="G46" s="260">
        <v>13464.86</v>
      </c>
      <c r="H46" s="260"/>
      <c r="I46" s="260"/>
      <c r="J46" s="260"/>
      <c r="K46" s="260"/>
      <c r="L46" s="260"/>
      <c r="M46" s="260"/>
      <c r="N46" s="260"/>
      <c r="O46" s="260"/>
      <c r="P46" s="47">
        <f t="shared" si="0"/>
        <v>13464.86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0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60">
        <v>47050</v>
      </c>
      <c r="G48" s="260"/>
      <c r="H48" s="307"/>
      <c r="I48" s="307"/>
      <c r="J48" s="260"/>
      <c r="K48" s="307"/>
      <c r="L48" s="307"/>
      <c r="M48" s="307"/>
      <c r="N48" s="307"/>
      <c r="O48" s="307"/>
      <c r="P48" s="47">
        <f t="shared" si="0"/>
        <v>47050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0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60"/>
      <c r="G52" s="260"/>
      <c r="H52" s="260"/>
      <c r="I52" s="260"/>
      <c r="J52" s="260"/>
      <c r="K52" s="260"/>
      <c r="L52" s="260"/>
      <c r="M52" s="260"/>
      <c r="N52" s="260"/>
      <c r="O52" s="260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/>
      <c r="F53" s="260"/>
      <c r="G53" s="260"/>
      <c r="H53" s="260"/>
      <c r="I53" s="260"/>
      <c r="J53" s="260"/>
      <c r="K53" s="260"/>
      <c r="L53" s="260"/>
      <c r="M53" s="260"/>
      <c r="N53" s="260"/>
      <c r="O53" s="260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60"/>
      <c r="G55" s="260"/>
      <c r="H55" s="260"/>
      <c r="I55" s="260"/>
      <c r="J55" s="260"/>
      <c r="K55" s="260"/>
      <c r="L55" s="260"/>
      <c r="M55" s="260"/>
      <c r="N55" s="260"/>
      <c r="O55" s="260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60"/>
      <c r="G57" s="260"/>
      <c r="H57" s="260"/>
      <c r="I57" s="260"/>
      <c r="J57" s="260"/>
      <c r="K57" s="260"/>
      <c r="L57" s="260"/>
      <c r="M57" s="260"/>
      <c r="N57" s="260"/>
      <c r="O57" s="260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60"/>
      <c r="G58" s="260"/>
      <c r="H58" s="260"/>
      <c r="I58" s="260"/>
      <c r="J58" s="260"/>
      <c r="K58" s="260"/>
      <c r="L58" s="260"/>
      <c r="M58" s="260"/>
      <c r="N58" s="260"/>
      <c r="O58" s="260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60"/>
      <c r="G59" s="260"/>
      <c r="H59" s="260"/>
      <c r="I59" s="260"/>
      <c r="J59" s="260"/>
      <c r="K59" s="260"/>
      <c r="L59" s="260"/>
      <c r="M59" s="260"/>
      <c r="N59" s="260"/>
      <c r="O59" s="260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60"/>
      <c r="G60" s="260"/>
      <c r="H60" s="260"/>
      <c r="I60" s="260"/>
      <c r="J60" s="260"/>
      <c r="K60" s="260"/>
      <c r="L60" s="260"/>
      <c r="M60" s="260"/>
      <c r="N60" s="260"/>
      <c r="O60" s="260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60"/>
      <c r="G61" s="260"/>
      <c r="H61" s="260"/>
      <c r="I61" s="260"/>
      <c r="J61" s="260"/>
      <c r="K61" s="260"/>
      <c r="L61" s="260"/>
      <c r="M61" s="260"/>
      <c r="N61" s="260"/>
      <c r="O61" s="260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60"/>
      <c r="G62" s="260"/>
      <c r="H62" s="260"/>
      <c r="I62" s="260"/>
      <c r="J62" s="260"/>
      <c r="K62" s="260"/>
      <c r="L62" s="260"/>
      <c r="M62" s="260"/>
      <c r="N62" s="260"/>
      <c r="O62" s="260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60"/>
      <c r="G63" s="260"/>
      <c r="H63" s="260"/>
      <c r="I63" s="260"/>
      <c r="J63" s="260"/>
      <c r="K63" s="260"/>
      <c r="L63" s="260"/>
      <c r="M63" s="260"/>
      <c r="N63" s="260"/>
      <c r="O63" s="260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60"/>
      <c r="G64" s="260"/>
      <c r="H64" s="260"/>
      <c r="I64" s="260"/>
      <c r="J64" s="260"/>
      <c r="K64" s="260"/>
      <c r="L64" s="260"/>
      <c r="M64" s="260"/>
      <c r="N64" s="260"/>
      <c r="O64" s="260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60"/>
      <c r="G65" s="260"/>
      <c r="H65" s="260"/>
      <c r="I65" s="260"/>
      <c r="J65" s="260"/>
      <c r="K65" s="260"/>
      <c r="L65" s="260"/>
      <c r="M65" s="260"/>
      <c r="N65" s="260"/>
      <c r="O65" s="260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60"/>
      <c r="F70" s="260"/>
      <c r="G70" s="260">
        <v>609.81</v>
      </c>
      <c r="H70" s="260"/>
      <c r="I70" s="260"/>
      <c r="J70" s="260"/>
      <c r="K70" s="260"/>
      <c r="L70" s="260"/>
      <c r="M70" s="260"/>
      <c r="N70" s="260"/>
      <c r="O70" s="260"/>
      <c r="P70" s="47">
        <f t="shared" si="0"/>
        <v>609.81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47">
        <f t="shared" ref="P71:P97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/>
      <c r="F81" s="260"/>
      <c r="G81" s="260">
        <v>300</v>
      </c>
      <c r="H81" s="260"/>
      <c r="I81" s="260"/>
      <c r="J81" s="260"/>
      <c r="K81" s="260"/>
      <c r="L81" s="260"/>
      <c r="M81" s="260"/>
      <c r="N81" s="260"/>
      <c r="O81" s="260"/>
      <c r="P81" s="47">
        <f t="shared" si="1"/>
        <v>300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60"/>
      <c r="G82" s="260"/>
      <c r="H82" s="260"/>
      <c r="I82" s="260"/>
      <c r="J82" s="260"/>
      <c r="K82" s="260"/>
      <c r="L82" s="260"/>
      <c r="M82" s="260"/>
      <c r="N82" s="260"/>
      <c r="O82" s="260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60"/>
      <c r="F83" s="260"/>
      <c r="G83" s="260"/>
      <c r="H83" s="260"/>
      <c r="I83" s="260"/>
      <c r="J83" s="260"/>
      <c r="K83" s="260"/>
      <c r="L83" s="260"/>
      <c r="M83" s="260"/>
      <c r="N83" s="260"/>
      <c r="O83" s="260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60"/>
      <c r="G84" s="260"/>
      <c r="H84" s="260"/>
      <c r="I84" s="260"/>
      <c r="J84" s="260"/>
      <c r="K84" s="260"/>
      <c r="L84" s="260"/>
      <c r="M84" s="260"/>
      <c r="N84" s="260"/>
      <c r="O84" s="260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0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60"/>
      <c r="G89" s="260"/>
      <c r="H89" s="260"/>
      <c r="I89" s="260"/>
      <c r="J89" s="260"/>
      <c r="K89" s="260"/>
      <c r="L89" s="260"/>
      <c r="M89" s="260"/>
      <c r="N89" s="260"/>
      <c r="O89" s="260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60"/>
      <c r="G92" s="260"/>
      <c r="H92" s="260"/>
      <c r="I92" s="260"/>
      <c r="J92" s="260"/>
      <c r="K92" s="260"/>
      <c r="L92" s="260"/>
      <c r="M92" s="260"/>
      <c r="N92" s="260"/>
      <c r="O92" s="260"/>
      <c r="P92" s="47">
        <f t="shared" si="1"/>
        <v>0</v>
      </c>
    </row>
    <row r="93" s="6" customFormat="1" ht="28.5" customHeight="1" spans="1:16">
      <c r="A93" s="232" t="s">
        <v>12</v>
      </c>
      <c r="B93" s="234"/>
      <c r="C93" s="308"/>
      <c r="D93" s="58">
        <f>SUM(D6:D92)</f>
        <v>0</v>
      </c>
      <c r="E93" s="58">
        <f t="shared" ref="E93:P93" si="2">SUM(E6:E92)</f>
        <v>0</v>
      </c>
      <c r="F93" s="58">
        <f t="shared" si="2"/>
        <v>183290.25</v>
      </c>
      <c r="G93" s="58">
        <f t="shared" si="2"/>
        <v>90839.82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274130.07</v>
      </c>
    </row>
    <row r="94" s="7" customFormat="1" ht="21.75" customHeight="1" spans="1:16">
      <c r="A94" s="252" t="s">
        <v>176</v>
      </c>
      <c r="B94" s="253"/>
      <c r="C94" s="254"/>
      <c r="D94" s="46"/>
      <c r="E94" s="46"/>
      <c r="F94" s="260"/>
      <c r="G94" s="267"/>
      <c r="H94" s="267"/>
      <c r="I94" s="267"/>
      <c r="J94" s="236"/>
      <c r="K94" s="236"/>
      <c r="L94" s="236"/>
      <c r="M94" s="236"/>
      <c r="N94" s="236"/>
      <c r="O94" s="236"/>
      <c r="P94" s="47">
        <f t="shared" si="1"/>
        <v>0</v>
      </c>
    </row>
    <row r="95" s="7" customFormat="1" ht="21.75" customHeight="1" spans="1:16">
      <c r="A95" s="252" t="s">
        <v>177</v>
      </c>
      <c r="B95" s="253"/>
      <c r="C95" s="254"/>
      <c r="D95" s="46"/>
      <c r="E95" s="46"/>
      <c r="F95" s="260"/>
      <c r="G95" s="267"/>
      <c r="H95" s="267"/>
      <c r="I95" s="267"/>
      <c r="J95" s="236"/>
      <c r="K95" s="236"/>
      <c r="L95" s="236"/>
      <c r="M95" s="236"/>
      <c r="N95" s="236"/>
      <c r="O95" s="236"/>
      <c r="P95" s="47">
        <f t="shared" si="1"/>
        <v>0</v>
      </c>
    </row>
    <row r="96" s="7" customFormat="1" ht="21.75" customHeight="1" spans="1:16">
      <c r="A96" s="252" t="s">
        <v>178</v>
      </c>
      <c r="B96" s="253"/>
      <c r="C96" s="254"/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7">
        <f t="shared" si="1"/>
        <v>0</v>
      </c>
    </row>
    <row r="97" s="7" customFormat="1" ht="21.75" customHeight="1" spans="1:16">
      <c r="A97" s="252" t="s">
        <v>179</v>
      </c>
      <c r="B97" s="253"/>
      <c r="C97" s="254"/>
      <c r="E97" s="74"/>
      <c r="F97" s="260"/>
      <c r="G97" s="267"/>
      <c r="H97" s="267"/>
      <c r="I97" s="267"/>
      <c r="J97" s="236"/>
      <c r="K97" s="236"/>
      <c r="L97" s="236"/>
      <c r="M97" s="236"/>
      <c r="N97" s="267"/>
      <c r="O97" s="236"/>
      <c r="P97" s="47">
        <f t="shared" si="1"/>
        <v>0</v>
      </c>
    </row>
    <row r="98" s="7" customFormat="1" ht="21.75" customHeight="1" spans="1:16">
      <c r="A98" s="252" t="s">
        <v>180</v>
      </c>
      <c r="B98" s="253"/>
      <c r="C98" s="254"/>
      <c r="D98" s="46">
        <f>D93</f>
        <v>0</v>
      </c>
      <c r="E98" s="46">
        <f t="shared" ref="E98:P98" si="3">E93</f>
        <v>0</v>
      </c>
      <c r="F98" s="46">
        <f t="shared" si="3"/>
        <v>183290.25</v>
      </c>
      <c r="G98" s="46">
        <f t="shared" si="3"/>
        <v>90839.82</v>
      </c>
      <c r="H98" s="46">
        <f t="shared" si="3"/>
        <v>0</v>
      </c>
      <c r="I98" s="46">
        <f t="shared" si="3"/>
        <v>0</v>
      </c>
      <c r="J98" s="46">
        <f t="shared" si="3"/>
        <v>0</v>
      </c>
      <c r="K98" s="46">
        <f t="shared" si="3"/>
        <v>0</v>
      </c>
      <c r="L98" s="46">
        <f t="shared" si="3"/>
        <v>0</v>
      </c>
      <c r="M98" s="46">
        <f t="shared" si="3"/>
        <v>0</v>
      </c>
      <c r="N98" s="46">
        <f t="shared" si="3"/>
        <v>0</v>
      </c>
      <c r="O98" s="46">
        <f t="shared" si="3"/>
        <v>0</v>
      </c>
      <c r="P98" s="46">
        <f t="shared" si="3"/>
        <v>274130.07</v>
      </c>
    </row>
    <row r="99" s="190" customFormat="1" ht="19.5" customHeight="1" spans="1:6">
      <c r="A99" s="190" t="s">
        <v>181</v>
      </c>
      <c r="E99" s="6"/>
      <c r="F99" s="23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1" s="6" customFormat="1" customHeight="1" spans="4:6">
      <c r="D101" s="259"/>
      <c r="F101" s="6">
        <v>183290.25</v>
      </c>
    </row>
    <row r="102" spans="6:6">
      <c r="F102" s="157">
        <f>F101-F93</f>
        <v>0</v>
      </c>
    </row>
    <row r="103" spans="16:16">
      <c r="P103" s="242">
        <v>32288242.86</v>
      </c>
    </row>
    <row r="104" spans="16:16">
      <c r="P104" s="80">
        <f>P103-P93</f>
        <v>32014112.79</v>
      </c>
    </row>
    <row r="105" s="6" customFormat="1" ht="12" spans="4:6">
      <c r="D105" s="241"/>
      <c r="E105" s="241"/>
      <c r="F105" s="241"/>
    </row>
    <row r="106" spans="7:7">
      <c r="G106" s="6"/>
    </row>
    <row r="108" spans="6:6">
      <c r="F108" s="157"/>
    </row>
    <row r="109" spans="4:11">
      <c r="D109" s="68"/>
      <c r="E109" s="68"/>
      <c r="F109" s="68"/>
      <c r="G109" s="68"/>
      <c r="H109" s="68"/>
      <c r="I109" s="68"/>
      <c r="J109" s="68"/>
      <c r="K109" s="68"/>
    </row>
    <row r="110" spans="4:11">
      <c r="D110" s="68"/>
      <c r="E110" s="68"/>
      <c r="F110" s="68"/>
      <c r="G110" s="68"/>
      <c r="H110" s="68"/>
      <c r="I110" s="68"/>
      <c r="J110" s="68"/>
      <c r="K110" s="68"/>
    </row>
    <row r="111" spans="4:11">
      <c r="D111" s="68"/>
      <c r="E111" s="68"/>
      <c r="F111" s="68"/>
      <c r="G111" s="68"/>
      <c r="H111" s="68"/>
      <c r="I111" s="68"/>
      <c r="J111" s="68"/>
      <c r="K111" s="68"/>
    </row>
    <row r="112" spans="4:11">
      <c r="D112" s="68"/>
      <c r="E112" s="68"/>
      <c r="F112" s="68"/>
      <c r="G112" s="68"/>
      <c r="H112" s="68"/>
      <c r="I112" s="68"/>
      <c r="J112" s="68"/>
      <c r="K112" s="68"/>
    </row>
    <row r="113" spans="4:11">
      <c r="D113" s="68"/>
      <c r="E113" s="68"/>
      <c r="F113" s="68"/>
      <c r="G113" s="68"/>
      <c r="H113" s="68"/>
      <c r="I113" s="68"/>
      <c r="J113" s="68"/>
      <c r="K113" s="68"/>
    </row>
    <row r="114" spans="4:11">
      <c r="D114" s="68"/>
      <c r="E114" s="68"/>
      <c r="F114" s="68"/>
      <c r="G114" s="68"/>
      <c r="H114" s="68"/>
      <c r="I114" s="68"/>
      <c r="J114" s="68"/>
      <c r="K114" s="68"/>
    </row>
    <row r="115" spans="4:11">
      <c r="D115" s="68"/>
      <c r="E115" s="68"/>
      <c r="F115" s="68"/>
      <c r="G115" s="68"/>
      <c r="H115" s="68"/>
      <c r="I115" s="68"/>
      <c r="J115" s="68"/>
      <c r="K115" s="68"/>
    </row>
  </sheetData>
  <mergeCells count="37">
    <mergeCell ref="A1:D1"/>
    <mergeCell ref="D4:O4"/>
    <mergeCell ref="A93:B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1:AB101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125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A1" sqref="A1:D1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5" width="15" style="10" customWidth="1"/>
    <col min="6" max="6" width="11.5" style="10" customWidth="1"/>
    <col min="7" max="7" width="17.25" style="10" customWidth="1"/>
    <col min="8" max="8" width="12.625" style="10" customWidth="1"/>
    <col min="9" max="9" width="14.875" style="10" customWidth="1"/>
    <col min="10" max="10" width="15.25" style="10" customWidth="1"/>
    <col min="11" max="11" width="15" style="10" customWidth="1"/>
    <col min="12" max="12" width="14.875" style="10" customWidth="1"/>
    <col min="13" max="13" width="17.75" style="10" customWidth="1"/>
    <col min="14" max="15" width="12.75" style="10" customWidth="1"/>
    <col min="16" max="16" width="14.875" style="10" customWidth="1"/>
    <col min="17" max="17" width="18.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8.5" customHeight="1" spans="1:4">
      <c r="A1" s="69" t="s">
        <v>242</v>
      </c>
      <c r="B1" s="69"/>
      <c r="C1" s="69"/>
      <c r="D1" s="69"/>
    </row>
    <row r="2" s="2" customFormat="1" ht="18" customHeight="1" spans="1:1">
      <c r="A2" s="2" t="s">
        <v>64</v>
      </c>
    </row>
    <row r="3" s="3" customFormat="1" ht="15" customHeight="1" spans="1:1">
      <c r="A3" s="12" t="str">
        <f>'G-高新'!A3</f>
        <v>编制期间：2020年4月</v>
      </c>
    </row>
    <row r="4" s="4" customFormat="1" customHeight="1" spans="1:16">
      <c r="A4" s="14" t="s">
        <v>243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f>SUM('Y-高新:Y-中天鸿锂'!D6)</f>
        <v>3198402.86</v>
      </c>
      <c r="E6" s="21">
        <f>SUM('Y-高新:Y-中天鸿锂'!E6)</f>
        <v>3404122.05</v>
      </c>
      <c r="F6" s="21">
        <f>SUM('Y-高新:Y-中天鸿锂'!F6)</f>
        <v>3257083.14</v>
      </c>
      <c r="G6" s="21">
        <f>SUM('Y-高新:Y-中天鸿锂'!G6)</f>
        <v>3436448.48</v>
      </c>
      <c r="H6" s="21">
        <f>SUM('Y-高新:Y-中天鸿锂'!H6)</f>
        <v>0</v>
      </c>
      <c r="I6" s="21">
        <f>SUM('Y-高新:Y-中天鸿锂'!I6)</f>
        <v>0</v>
      </c>
      <c r="J6" s="21">
        <f>SUM('Y-高新:Y-中天鸿锂'!J6)</f>
        <v>0</v>
      </c>
      <c r="K6" s="21">
        <f>SUM('Y-高新:Y-中天鸿锂'!K6)</f>
        <v>0</v>
      </c>
      <c r="L6" s="21">
        <f>SUM('Y-高新:Y-中天鸿锂'!L6)</f>
        <v>0</v>
      </c>
      <c r="M6" s="21">
        <f>SUM('Y-高新:Y-中天鸿锂'!M6)</f>
        <v>0</v>
      </c>
      <c r="N6" s="21">
        <f>SUM('Y-高新:Y-中天鸿锂'!N6)</f>
        <v>0</v>
      </c>
      <c r="O6" s="21">
        <f>SUM('Y-高新:Y-中天鸿锂'!O6)</f>
        <v>0</v>
      </c>
      <c r="P6" s="47">
        <f>SUM(D6:O6)</f>
        <v>13296056.53</v>
      </c>
      <c r="Q6" s="48">
        <f>P6+P7+P8+P19+P22+P23+P24+P25+P26</f>
        <v>19726542.08</v>
      </c>
    </row>
    <row r="7" s="5" customFormat="1" ht="17.25" customHeight="1" spans="1:16">
      <c r="A7" s="22"/>
      <c r="B7" s="23"/>
      <c r="C7" s="20" t="s">
        <v>71</v>
      </c>
      <c r="D7" s="21">
        <f>SUM('Y-高新:Y-中天鸿锂'!D7)</f>
        <v>2743174.84</v>
      </c>
      <c r="E7" s="21">
        <f>SUM('Y-高新:Y-中天鸿锂'!E7)</f>
        <v>552928.34</v>
      </c>
      <c r="F7" s="21">
        <f>SUM('Y-高新:Y-中天鸿锂'!F7)</f>
        <v>542129.77</v>
      </c>
      <c r="G7" s="21">
        <f>SUM('Y-高新:Y-中天鸿锂'!G7)</f>
        <v>1336775.58</v>
      </c>
      <c r="H7" s="21">
        <f>SUM('Y-高新:Y-中天鸿锂'!H7)</f>
        <v>0</v>
      </c>
      <c r="I7" s="21">
        <f>SUM('Y-高新:Y-中天鸿锂'!I7)</f>
        <v>0</v>
      </c>
      <c r="J7" s="21">
        <f>SUM('Y-高新:Y-中天鸿锂'!J7)</f>
        <v>0</v>
      </c>
      <c r="K7" s="21">
        <f>SUM('Y-高新:Y-中天鸿锂'!K7)</f>
        <v>0</v>
      </c>
      <c r="L7" s="21">
        <f>SUM('Y-高新:Y-中天鸿锂'!L7)</f>
        <v>0</v>
      </c>
      <c r="M7" s="21">
        <f>SUM('Y-高新:Y-中天鸿锂'!M7)</f>
        <v>0</v>
      </c>
      <c r="N7" s="21">
        <f>SUM('Y-高新:Y-中天鸿锂'!N7)</f>
        <v>0</v>
      </c>
      <c r="O7" s="21">
        <f>SUM('Y-高新:Y-中天鸿锂'!O7)</f>
        <v>0</v>
      </c>
      <c r="P7" s="47">
        <f t="shared" ref="P7:P70" si="0">SUM(D7:O7)</f>
        <v>5175008.53</v>
      </c>
    </row>
    <row r="8" s="5" customFormat="1" ht="17.25" customHeight="1" spans="1:16">
      <c r="A8" s="22"/>
      <c r="B8" s="19" t="s">
        <v>72</v>
      </c>
      <c r="C8" s="20" t="s">
        <v>72</v>
      </c>
      <c r="D8" s="21">
        <f>SUM('Y-高新:Y-中天鸿锂'!D8)</f>
        <v>0</v>
      </c>
      <c r="E8" s="21">
        <f>SUM('Y-高新:Y-中天鸿锂'!E8)</f>
        <v>0</v>
      </c>
      <c r="F8" s="21">
        <f>SUM('Y-高新:Y-中天鸿锂'!F8)</f>
        <v>0</v>
      </c>
      <c r="G8" s="21">
        <f>SUM('Y-高新:Y-中天鸿锂'!G8)</f>
        <v>10000</v>
      </c>
      <c r="H8" s="21">
        <f>SUM('Y-高新:Y-中天鸿锂'!H8)</f>
        <v>0</v>
      </c>
      <c r="I8" s="21">
        <f>SUM('Y-高新:Y-中天鸿锂'!I8)</f>
        <v>0</v>
      </c>
      <c r="J8" s="21">
        <f>SUM('Y-高新:Y-中天鸿锂'!J8)</f>
        <v>0</v>
      </c>
      <c r="K8" s="21">
        <f>SUM('Y-高新:Y-中天鸿锂'!K8)</f>
        <v>0</v>
      </c>
      <c r="L8" s="21">
        <f>SUM('Y-高新:Y-中天鸿锂'!L8)</f>
        <v>0</v>
      </c>
      <c r="M8" s="21">
        <f>SUM('Y-高新:Y-中天鸿锂'!M8)</f>
        <v>0</v>
      </c>
      <c r="N8" s="21">
        <f>SUM('Y-高新:Y-中天鸿锂'!N8)</f>
        <v>0</v>
      </c>
      <c r="O8" s="21">
        <f>SUM('Y-高新:Y-中天鸿锂'!O8)</f>
        <v>0</v>
      </c>
      <c r="P8" s="47">
        <f t="shared" si="0"/>
        <v>10000</v>
      </c>
    </row>
    <row r="9" s="5" customFormat="1" ht="17.25" customHeight="1" spans="1:16">
      <c r="A9" s="22"/>
      <c r="B9" s="19" t="s">
        <v>73</v>
      </c>
      <c r="C9" s="20" t="s">
        <v>73</v>
      </c>
      <c r="D9" s="21">
        <f>SUM('Y-高新:Y-中天鸿锂'!D9)</f>
        <v>0</v>
      </c>
      <c r="E9" s="21">
        <f>SUM('Y-高新:Y-中天鸿锂'!E9)</f>
        <v>0</v>
      </c>
      <c r="F9" s="21">
        <f>SUM('Y-高新:Y-中天鸿锂'!F9)</f>
        <v>0</v>
      </c>
      <c r="G9" s="21">
        <f>SUM('Y-高新:Y-中天鸿锂'!G9)</f>
        <v>0</v>
      </c>
      <c r="H9" s="21">
        <f>SUM('Y-高新:Y-中天鸿锂'!H9)</f>
        <v>0</v>
      </c>
      <c r="I9" s="21">
        <f>SUM('Y-高新:Y-中天鸿锂'!I9)</f>
        <v>0</v>
      </c>
      <c r="J9" s="21">
        <f>SUM('Y-高新:Y-中天鸿锂'!J9)</f>
        <v>0</v>
      </c>
      <c r="K9" s="21">
        <f>SUM('Y-高新:Y-中天鸿锂'!K9)</f>
        <v>0</v>
      </c>
      <c r="L9" s="21">
        <f>SUM('Y-高新:Y-中天鸿锂'!L9)</f>
        <v>0</v>
      </c>
      <c r="M9" s="21">
        <f>SUM('Y-高新:Y-中天鸿锂'!M9)</f>
        <v>0</v>
      </c>
      <c r="N9" s="21">
        <f>SUM('Y-高新:Y-中天鸿锂'!N9)</f>
        <v>0</v>
      </c>
      <c r="O9" s="21">
        <f>SUM('Y-高新:Y-中天鸿锂'!O9)</f>
        <v>0</v>
      </c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>
        <f>SUM('Y-高新:Y-中天鸿锂'!D10)</f>
        <v>0</v>
      </c>
      <c r="E10" s="21">
        <f>SUM('Y-高新:Y-中天鸿锂'!E10)</f>
        <v>0</v>
      </c>
      <c r="F10" s="21">
        <f>SUM('Y-高新:Y-中天鸿锂'!F10)</f>
        <v>0</v>
      </c>
      <c r="G10" s="21">
        <f>SUM('Y-高新:Y-中天鸿锂'!G10)</f>
        <v>0</v>
      </c>
      <c r="H10" s="21">
        <f>SUM('Y-高新:Y-中天鸿锂'!H10)</f>
        <v>0</v>
      </c>
      <c r="I10" s="21">
        <f>SUM('Y-高新:Y-中天鸿锂'!I10)</f>
        <v>0</v>
      </c>
      <c r="J10" s="21">
        <f>SUM('Y-高新:Y-中天鸿锂'!J10)</f>
        <v>0</v>
      </c>
      <c r="K10" s="21">
        <f>SUM('Y-高新:Y-中天鸿锂'!K10)</f>
        <v>0</v>
      </c>
      <c r="L10" s="21">
        <f>SUM('Y-高新:Y-中天鸿锂'!L10)</f>
        <v>0</v>
      </c>
      <c r="M10" s="21">
        <f>SUM('Y-高新:Y-中天鸿锂'!M10)</f>
        <v>0</v>
      </c>
      <c r="N10" s="21">
        <f>SUM('Y-高新:Y-中天鸿锂'!N10)</f>
        <v>0</v>
      </c>
      <c r="O10" s="21">
        <f>SUM('Y-高新:Y-中天鸿锂'!O10)</f>
        <v>0</v>
      </c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>
        <f>SUM('Y-高新:Y-中天鸿锂'!D11)</f>
        <v>0</v>
      </c>
      <c r="E11" s="21">
        <f>SUM('Y-高新:Y-中天鸿锂'!E11)</f>
        <v>0</v>
      </c>
      <c r="F11" s="21">
        <f>SUM('Y-高新:Y-中天鸿锂'!F11)</f>
        <v>0</v>
      </c>
      <c r="G11" s="21">
        <f>SUM('Y-高新:Y-中天鸿锂'!G11)</f>
        <v>0</v>
      </c>
      <c r="H11" s="21">
        <f>SUM('Y-高新:Y-中天鸿锂'!H11)</f>
        <v>0</v>
      </c>
      <c r="I11" s="21">
        <f>SUM('Y-高新:Y-中天鸿锂'!I11)</f>
        <v>0</v>
      </c>
      <c r="J11" s="21">
        <f>SUM('Y-高新:Y-中天鸿锂'!J11)</f>
        <v>0</v>
      </c>
      <c r="K11" s="21">
        <f>SUM('Y-高新:Y-中天鸿锂'!K11)</f>
        <v>0</v>
      </c>
      <c r="L11" s="21">
        <f>SUM('Y-高新:Y-中天鸿锂'!L11)</f>
        <v>0</v>
      </c>
      <c r="M11" s="21">
        <f>SUM('Y-高新:Y-中天鸿锂'!M11)</f>
        <v>0</v>
      </c>
      <c r="N11" s="21">
        <f>SUM('Y-高新:Y-中天鸿锂'!N11)</f>
        <v>0</v>
      </c>
      <c r="O11" s="21">
        <f>SUM('Y-高新:Y-中天鸿锂'!O11)</f>
        <v>0</v>
      </c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>
        <f>SUM('Y-高新:Y-中天鸿锂'!D12)</f>
        <v>0</v>
      </c>
      <c r="E12" s="21">
        <f>SUM('Y-高新:Y-中天鸿锂'!E12)</f>
        <v>0</v>
      </c>
      <c r="F12" s="21">
        <f>SUM('Y-高新:Y-中天鸿锂'!F12)</f>
        <v>18760.02</v>
      </c>
      <c r="G12" s="21">
        <f>SUM('Y-高新:Y-中天鸿锂'!G12)</f>
        <v>21195.0600000001</v>
      </c>
      <c r="H12" s="21">
        <f>SUM('Y-高新:Y-中天鸿锂'!H12)</f>
        <v>0</v>
      </c>
      <c r="I12" s="21">
        <f>SUM('Y-高新:Y-中天鸿锂'!I12)</f>
        <v>0</v>
      </c>
      <c r="J12" s="21">
        <f>SUM('Y-高新:Y-中天鸿锂'!J12)</f>
        <v>0</v>
      </c>
      <c r="K12" s="21">
        <f>SUM('Y-高新:Y-中天鸿锂'!K12)</f>
        <v>0</v>
      </c>
      <c r="L12" s="21">
        <f>SUM('Y-高新:Y-中天鸿锂'!L12)</f>
        <v>0</v>
      </c>
      <c r="M12" s="21">
        <f>SUM('Y-高新:Y-中天鸿锂'!M12)</f>
        <v>0</v>
      </c>
      <c r="N12" s="21">
        <f>SUM('Y-高新:Y-中天鸿锂'!N12)</f>
        <v>0</v>
      </c>
      <c r="O12" s="21">
        <f>SUM('Y-高新:Y-中天鸿锂'!O12)</f>
        <v>0</v>
      </c>
      <c r="P12" s="47">
        <f t="shared" si="0"/>
        <v>39955.08</v>
      </c>
    </row>
    <row r="13" s="5" customFormat="1" ht="17.25" customHeight="1" spans="1:16">
      <c r="A13" s="22"/>
      <c r="B13" s="24"/>
      <c r="C13" s="25" t="s">
        <v>78</v>
      </c>
      <c r="D13" s="21">
        <f>SUM('Y-高新:Y-中天鸿锂'!D13)</f>
        <v>1299.43</v>
      </c>
      <c r="E13" s="21">
        <f>SUM('Y-高新:Y-中天鸿锂'!E13)</f>
        <v>0</v>
      </c>
      <c r="F13" s="21">
        <f>SUM('Y-高新:Y-中天鸿锂'!F13)</f>
        <v>0</v>
      </c>
      <c r="G13" s="21">
        <f>SUM('Y-高新:Y-中天鸿锂'!G13)</f>
        <v>0</v>
      </c>
      <c r="H13" s="21">
        <f>SUM('Y-高新:Y-中天鸿锂'!H13)</f>
        <v>0</v>
      </c>
      <c r="I13" s="21">
        <f>SUM('Y-高新:Y-中天鸿锂'!I13)</f>
        <v>0</v>
      </c>
      <c r="J13" s="21">
        <f>SUM('Y-高新:Y-中天鸿锂'!J13)</f>
        <v>0</v>
      </c>
      <c r="K13" s="21">
        <f>SUM('Y-高新:Y-中天鸿锂'!K13)</f>
        <v>0</v>
      </c>
      <c r="L13" s="21">
        <f>SUM('Y-高新:Y-中天鸿锂'!L13)</f>
        <v>0</v>
      </c>
      <c r="M13" s="21">
        <f>SUM('Y-高新:Y-中天鸿锂'!M13)</f>
        <v>0</v>
      </c>
      <c r="N13" s="21">
        <f>SUM('Y-高新:Y-中天鸿锂'!N13)</f>
        <v>0</v>
      </c>
      <c r="O13" s="21">
        <f>SUM('Y-高新:Y-中天鸿锂'!O13)</f>
        <v>0</v>
      </c>
      <c r="P13" s="47">
        <f t="shared" si="0"/>
        <v>1299.43</v>
      </c>
    </row>
    <row r="14" s="5" customFormat="1" ht="17.25" customHeight="1" spans="1:16">
      <c r="A14" s="22"/>
      <c r="B14" s="24"/>
      <c r="C14" s="20" t="s">
        <v>79</v>
      </c>
      <c r="D14" s="21">
        <f>SUM('Y-高新:Y-中天鸿锂'!D14)</f>
        <v>1600</v>
      </c>
      <c r="E14" s="21">
        <f>SUM('Y-高新:Y-中天鸿锂'!E14)</f>
        <v>16100</v>
      </c>
      <c r="F14" s="21">
        <f>SUM('Y-高新:Y-中天鸿锂'!F14)</f>
        <v>2500</v>
      </c>
      <c r="G14" s="21">
        <f>SUM('Y-高新:Y-中天鸿锂'!G14)</f>
        <v>3550</v>
      </c>
      <c r="H14" s="21">
        <f>SUM('Y-高新:Y-中天鸿锂'!H14)</f>
        <v>0</v>
      </c>
      <c r="I14" s="21">
        <f>SUM('Y-高新:Y-中天鸿锂'!I14)</f>
        <v>0</v>
      </c>
      <c r="J14" s="21">
        <f>SUM('Y-高新:Y-中天鸿锂'!J14)</f>
        <v>0</v>
      </c>
      <c r="K14" s="21">
        <f>SUM('Y-高新:Y-中天鸿锂'!K14)</f>
        <v>0</v>
      </c>
      <c r="L14" s="21">
        <f>SUM('Y-高新:Y-中天鸿锂'!L14)</f>
        <v>0</v>
      </c>
      <c r="M14" s="21">
        <f>SUM('Y-高新:Y-中天鸿锂'!M14)</f>
        <v>0</v>
      </c>
      <c r="N14" s="21">
        <f>SUM('Y-高新:Y-中天鸿锂'!N14)</f>
        <v>0</v>
      </c>
      <c r="O14" s="21">
        <f>SUM('Y-高新:Y-中天鸿锂'!O14)</f>
        <v>0</v>
      </c>
      <c r="P14" s="47">
        <f t="shared" si="0"/>
        <v>23750</v>
      </c>
    </row>
    <row r="15" s="5" customFormat="1" ht="17.25" customHeight="1" spans="1:16">
      <c r="A15" s="22"/>
      <c r="B15" s="24"/>
      <c r="C15" s="25" t="s">
        <v>80</v>
      </c>
      <c r="D15" s="21">
        <f>SUM('Y-高新:Y-中天鸿锂'!D15)</f>
        <v>0</v>
      </c>
      <c r="E15" s="21">
        <f>SUM('Y-高新:Y-中天鸿锂'!E15)</f>
        <v>0</v>
      </c>
      <c r="F15" s="21">
        <f>SUM('Y-高新:Y-中天鸿锂'!F15)</f>
        <v>0</v>
      </c>
      <c r="G15" s="21">
        <f>SUM('Y-高新:Y-中天鸿锂'!G15)</f>
        <v>0</v>
      </c>
      <c r="H15" s="21">
        <f>SUM('Y-高新:Y-中天鸿锂'!H15)</f>
        <v>0</v>
      </c>
      <c r="I15" s="21">
        <f>SUM('Y-高新:Y-中天鸿锂'!I15)</f>
        <v>0</v>
      </c>
      <c r="J15" s="21">
        <f>SUM('Y-高新:Y-中天鸿锂'!J15)</f>
        <v>0</v>
      </c>
      <c r="K15" s="21">
        <f>SUM('Y-高新:Y-中天鸿锂'!K15)</f>
        <v>0</v>
      </c>
      <c r="L15" s="21">
        <f>SUM('Y-高新:Y-中天鸿锂'!L15)</f>
        <v>0</v>
      </c>
      <c r="M15" s="21">
        <f>SUM('Y-高新:Y-中天鸿锂'!M15)</f>
        <v>0</v>
      </c>
      <c r="N15" s="21">
        <f>SUM('Y-高新:Y-中天鸿锂'!N15)</f>
        <v>0</v>
      </c>
      <c r="O15" s="21">
        <f>SUM('Y-高新:Y-中天鸿锂'!O15)</f>
        <v>0</v>
      </c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>
        <f>SUM('Y-高新:Y-中天鸿锂'!D16)</f>
        <v>0</v>
      </c>
      <c r="E16" s="21">
        <f>SUM('Y-高新:Y-中天鸿锂'!E16)</f>
        <v>0</v>
      </c>
      <c r="F16" s="21">
        <f>SUM('Y-高新:Y-中天鸿锂'!F16)</f>
        <v>0</v>
      </c>
      <c r="G16" s="21">
        <f>SUM('Y-高新:Y-中天鸿锂'!G16)</f>
        <v>0</v>
      </c>
      <c r="H16" s="21">
        <f>SUM('Y-高新:Y-中天鸿锂'!H16)</f>
        <v>0</v>
      </c>
      <c r="I16" s="21">
        <f>SUM('Y-高新:Y-中天鸿锂'!I16)</f>
        <v>0</v>
      </c>
      <c r="J16" s="21">
        <f>SUM('Y-高新:Y-中天鸿锂'!J16)</f>
        <v>0</v>
      </c>
      <c r="K16" s="21">
        <f>SUM('Y-高新:Y-中天鸿锂'!K16)</f>
        <v>0</v>
      </c>
      <c r="L16" s="21">
        <f>SUM('Y-高新:Y-中天鸿锂'!L16)</f>
        <v>0</v>
      </c>
      <c r="M16" s="21">
        <f>SUM('Y-高新:Y-中天鸿锂'!M16)</f>
        <v>0</v>
      </c>
      <c r="N16" s="21">
        <f>SUM('Y-高新:Y-中天鸿锂'!N16)</f>
        <v>0</v>
      </c>
      <c r="O16" s="21">
        <f>SUM('Y-高新:Y-中天鸿锂'!O16)</f>
        <v>0</v>
      </c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>
        <f>SUM('Y-高新:Y-中天鸿锂'!D17)</f>
        <v>0</v>
      </c>
      <c r="E17" s="21">
        <f>SUM('Y-高新:Y-中天鸿锂'!E17)</f>
        <v>0</v>
      </c>
      <c r="F17" s="21">
        <f>SUM('Y-高新:Y-中天鸿锂'!F17)</f>
        <v>0</v>
      </c>
      <c r="G17" s="21">
        <f>SUM('Y-高新:Y-中天鸿锂'!G17)</f>
        <v>0</v>
      </c>
      <c r="H17" s="21">
        <f>SUM('Y-高新:Y-中天鸿锂'!H17)</f>
        <v>0</v>
      </c>
      <c r="I17" s="21">
        <f>SUM('Y-高新:Y-中天鸿锂'!I17)</f>
        <v>0</v>
      </c>
      <c r="J17" s="21">
        <f>SUM('Y-高新:Y-中天鸿锂'!J17)</f>
        <v>0</v>
      </c>
      <c r="K17" s="21">
        <f>SUM('Y-高新:Y-中天鸿锂'!K17)</f>
        <v>0</v>
      </c>
      <c r="L17" s="21">
        <f>SUM('Y-高新:Y-中天鸿锂'!L17)</f>
        <v>0</v>
      </c>
      <c r="M17" s="21">
        <f>SUM('Y-高新:Y-中天鸿锂'!M17)</f>
        <v>0</v>
      </c>
      <c r="N17" s="21">
        <f>SUM('Y-高新:Y-中天鸿锂'!N17)</f>
        <v>0</v>
      </c>
      <c r="O17" s="21">
        <f>SUM('Y-高新:Y-中天鸿锂'!O17)</f>
        <v>0</v>
      </c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>
        <f>SUM('Y-高新:Y-中天鸿锂'!D18)</f>
        <v>0</v>
      </c>
      <c r="E18" s="21">
        <f>SUM('Y-高新:Y-中天鸿锂'!E18)</f>
        <v>0</v>
      </c>
      <c r="F18" s="21">
        <f>SUM('Y-高新:Y-中天鸿锂'!F18)</f>
        <v>0</v>
      </c>
      <c r="G18" s="21">
        <f>SUM('Y-高新:Y-中天鸿锂'!G18)</f>
        <v>0</v>
      </c>
      <c r="H18" s="21">
        <f>SUM('Y-高新:Y-中天鸿锂'!H18)</f>
        <v>0</v>
      </c>
      <c r="I18" s="21">
        <f>SUM('Y-高新:Y-中天鸿锂'!I18)</f>
        <v>0</v>
      </c>
      <c r="J18" s="21">
        <f>SUM('Y-高新:Y-中天鸿锂'!J18)</f>
        <v>0</v>
      </c>
      <c r="K18" s="21">
        <f>SUM('Y-高新:Y-中天鸿锂'!K18)</f>
        <v>0</v>
      </c>
      <c r="L18" s="21">
        <f>SUM('Y-高新:Y-中天鸿锂'!L18)</f>
        <v>0</v>
      </c>
      <c r="M18" s="21">
        <f>SUM('Y-高新:Y-中天鸿锂'!M18)</f>
        <v>0</v>
      </c>
      <c r="N18" s="21">
        <f>SUM('Y-高新:Y-中天鸿锂'!N18)</f>
        <v>0</v>
      </c>
      <c r="O18" s="21">
        <f>SUM('Y-高新:Y-中天鸿锂'!O18)</f>
        <v>0</v>
      </c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f>SUM('Y-高新:Y-中天鸿锂'!D19)</f>
        <v>155357</v>
      </c>
      <c r="E19" s="21">
        <f>SUM('Y-高新:Y-中天鸿锂'!E19)</f>
        <v>155393</v>
      </c>
      <c r="F19" s="21">
        <f>SUM('Y-高新:Y-中天鸿锂'!F19)</f>
        <v>154182</v>
      </c>
      <c r="G19" s="21">
        <f>SUM('Y-高新:Y-中天鸿锂'!G19)</f>
        <v>155579.98</v>
      </c>
      <c r="H19" s="21">
        <f>SUM('Y-高新:Y-中天鸿锂'!H19)</f>
        <v>0</v>
      </c>
      <c r="I19" s="21">
        <f>SUM('Y-高新:Y-中天鸿锂'!I19)</f>
        <v>0</v>
      </c>
      <c r="J19" s="21">
        <f>SUM('Y-高新:Y-中天鸿锂'!J19)</f>
        <v>0</v>
      </c>
      <c r="K19" s="21">
        <f>SUM('Y-高新:Y-中天鸿锂'!K19)</f>
        <v>0</v>
      </c>
      <c r="L19" s="21">
        <f>SUM('Y-高新:Y-中天鸿锂'!L19)</f>
        <v>0</v>
      </c>
      <c r="M19" s="21">
        <f>SUM('Y-高新:Y-中天鸿锂'!M19)</f>
        <v>0</v>
      </c>
      <c r="N19" s="21">
        <f>SUM('Y-高新:Y-中天鸿锂'!N19)</f>
        <v>0</v>
      </c>
      <c r="O19" s="21">
        <f>SUM('Y-高新:Y-中天鸿锂'!O19)</f>
        <v>0</v>
      </c>
      <c r="P19" s="47">
        <f t="shared" si="0"/>
        <v>620511.98</v>
      </c>
    </row>
    <row r="20" s="5" customFormat="1" ht="17.25" customHeight="1" spans="1:16">
      <c r="A20" s="22"/>
      <c r="B20" s="19" t="s">
        <v>85</v>
      </c>
      <c r="C20" s="20" t="s">
        <v>85</v>
      </c>
      <c r="D20" s="21">
        <f>SUM('Y-高新:Y-中天鸿锂'!D20)</f>
        <v>0</v>
      </c>
      <c r="E20" s="21">
        <f>SUM('Y-高新:Y-中天鸿锂'!E20)</f>
        <v>0</v>
      </c>
      <c r="F20" s="21">
        <f>SUM('Y-高新:Y-中天鸿锂'!F20)</f>
        <v>0</v>
      </c>
      <c r="G20" s="21">
        <f>SUM('Y-高新:Y-中天鸿锂'!G20)</f>
        <v>0</v>
      </c>
      <c r="H20" s="21">
        <f>SUM('Y-高新:Y-中天鸿锂'!H20)</f>
        <v>0</v>
      </c>
      <c r="I20" s="21">
        <f>SUM('Y-高新:Y-中天鸿锂'!I20)</f>
        <v>0</v>
      </c>
      <c r="J20" s="21">
        <f>SUM('Y-高新:Y-中天鸿锂'!J20)</f>
        <v>0</v>
      </c>
      <c r="K20" s="21">
        <f>SUM('Y-高新:Y-中天鸿锂'!K20)</f>
        <v>0</v>
      </c>
      <c r="L20" s="21">
        <f>SUM('Y-高新:Y-中天鸿锂'!L20)</f>
        <v>0</v>
      </c>
      <c r="M20" s="21">
        <f>SUM('Y-高新:Y-中天鸿锂'!M20)</f>
        <v>0</v>
      </c>
      <c r="N20" s="21">
        <f>SUM('Y-高新:Y-中天鸿锂'!N20)</f>
        <v>0</v>
      </c>
      <c r="O20" s="21">
        <f>SUM('Y-高新:Y-中天鸿锂'!O20)</f>
        <v>0</v>
      </c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>
        <f>SUM('Y-高新:Y-中天鸿锂'!D21)</f>
        <v>0</v>
      </c>
      <c r="E21" s="21">
        <f>SUM('Y-高新:Y-中天鸿锂'!E21)</f>
        <v>17239.81</v>
      </c>
      <c r="F21" s="21">
        <f>SUM('Y-高新:Y-中天鸿锂'!F21)</f>
        <v>0</v>
      </c>
      <c r="G21" s="21">
        <f>SUM('Y-高新:Y-中天鸿锂'!G21)</f>
        <v>1180</v>
      </c>
      <c r="H21" s="21">
        <f>SUM('Y-高新:Y-中天鸿锂'!H21)</f>
        <v>0</v>
      </c>
      <c r="I21" s="21">
        <f>SUM('Y-高新:Y-中天鸿锂'!I21)</f>
        <v>0</v>
      </c>
      <c r="J21" s="21">
        <f>SUM('Y-高新:Y-中天鸿锂'!J21)</f>
        <v>0</v>
      </c>
      <c r="K21" s="21">
        <f>SUM('Y-高新:Y-中天鸿锂'!K21)</f>
        <v>0</v>
      </c>
      <c r="L21" s="21">
        <f>SUM('Y-高新:Y-中天鸿锂'!L21)</f>
        <v>0</v>
      </c>
      <c r="M21" s="21">
        <f>SUM('Y-高新:Y-中天鸿锂'!M21)</f>
        <v>0</v>
      </c>
      <c r="N21" s="21">
        <f>SUM('Y-高新:Y-中天鸿锂'!N21)</f>
        <v>0</v>
      </c>
      <c r="O21" s="21">
        <f>SUM('Y-高新:Y-中天鸿锂'!O21)</f>
        <v>0</v>
      </c>
      <c r="P21" s="47">
        <f t="shared" si="0"/>
        <v>18419.81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f>SUM('Y-高新:Y-中天鸿锂'!D22)</f>
        <v>167790.41</v>
      </c>
      <c r="E22" s="21">
        <f>SUM('Y-高新:Y-中天鸿锂'!E22)</f>
        <v>167123.9</v>
      </c>
      <c r="F22" s="21">
        <f>SUM('Y-高新:Y-中天鸿锂'!F22)</f>
        <v>-104502.56</v>
      </c>
      <c r="G22" s="21">
        <f>SUM('Y-高新:Y-中天鸿锂'!G22)</f>
        <v>45744.42</v>
      </c>
      <c r="H22" s="21">
        <f>SUM('Y-高新:Y-中天鸿锂'!H22)</f>
        <v>0</v>
      </c>
      <c r="I22" s="21">
        <f>SUM('Y-高新:Y-中天鸿锂'!I22)</f>
        <v>0</v>
      </c>
      <c r="J22" s="21">
        <f>SUM('Y-高新:Y-中天鸿锂'!J22)</f>
        <v>0</v>
      </c>
      <c r="K22" s="21">
        <f>SUM('Y-高新:Y-中天鸿锂'!K22)</f>
        <v>0</v>
      </c>
      <c r="L22" s="21">
        <f>SUM('Y-高新:Y-中天鸿锂'!L22)</f>
        <v>0</v>
      </c>
      <c r="M22" s="21">
        <f>SUM('Y-高新:Y-中天鸿锂'!M22)</f>
        <v>0</v>
      </c>
      <c r="N22" s="21">
        <f>SUM('Y-高新:Y-中天鸿锂'!N22)</f>
        <v>0</v>
      </c>
      <c r="O22" s="21">
        <f>SUM('Y-高新:Y-中天鸿锂'!O22)</f>
        <v>0</v>
      </c>
      <c r="P22" s="47">
        <f t="shared" si="0"/>
        <v>276156.17</v>
      </c>
    </row>
    <row r="23" s="5" customFormat="1" ht="17.25" customHeight="1" spans="1:16">
      <c r="A23" s="22"/>
      <c r="B23" s="24"/>
      <c r="C23" s="25" t="s">
        <v>89</v>
      </c>
      <c r="D23" s="21">
        <f>SUM('Y-高新:Y-中天鸿锂'!D23)</f>
        <v>4338.42</v>
      </c>
      <c r="E23" s="21">
        <f>SUM('Y-高新:Y-中天鸿锂'!E23)</f>
        <v>4313.88</v>
      </c>
      <c r="F23" s="21">
        <f>SUM('Y-高新:Y-中天鸿锂'!F23)</f>
        <v>-1127.38</v>
      </c>
      <c r="G23" s="21">
        <f>SUM('Y-高新:Y-中天鸿锂'!G23)</f>
        <v>-1139.25</v>
      </c>
      <c r="H23" s="21">
        <f>SUM('Y-高新:Y-中天鸿锂'!H23)</f>
        <v>0</v>
      </c>
      <c r="I23" s="21">
        <f>SUM('Y-高新:Y-中天鸿锂'!I23)</f>
        <v>0</v>
      </c>
      <c r="J23" s="21">
        <f>SUM('Y-高新:Y-中天鸿锂'!J23)</f>
        <v>0</v>
      </c>
      <c r="K23" s="21">
        <f>SUM('Y-高新:Y-中天鸿锂'!K23)</f>
        <v>0</v>
      </c>
      <c r="L23" s="21">
        <f>SUM('Y-高新:Y-中天鸿锂'!L23)</f>
        <v>0</v>
      </c>
      <c r="M23" s="21">
        <f>SUM('Y-高新:Y-中天鸿锂'!M23)</f>
        <v>0</v>
      </c>
      <c r="N23" s="21">
        <f>SUM('Y-高新:Y-中天鸿锂'!N23)</f>
        <v>0</v>
      </c>
      <c r="O23" s="21">
        <f>SUM('Y-高新:Y-中天鸿锂'!O23)</f>
        <v>0</v>
      </c>
      <c r="P23" s="47">
        <f t="shared" si="0"/>
        <v>6385.67</v>
      </c>
    </row>
    <row r="24" s="5" customFormat="1" ht="17.25" customHeight="1" spans="1:16">
      <c r="A24" s="22"/>
      <c r="B24" s="24"/>
      <c r="C24" s="25" t="s">
        <v>90</v>
      </c>
      <c r="D24" s="21">
        <f>SUM('Y-高新:Y-中天鸿锂'!D24)</f>
        <v>5245.91</v>
      </c>
      <c r="E24" s="21">
        <f>SUM('Y-高新:Y-中天鸿锂'!E24)</f>
        <v>5202.89</v>
      </c>
      <c r="F24" s="21">
        <f>SUM('Y-高新:Y-中天鸿锂'!F24)</f>
        <v>-2251.77</v>
      </c>
      <c r="G24" s="21">
        <f>SUM('Y-高新:Y-中天鸿锂'!G24)</f>
        <v>1815.98</v>
      </c>
      <c r="H24" s="21">
        <f>SUM('Y-高新:Y-中天鸿锂'!H24)</f>
        <v>0</v>
      </c>
      <c r="I24" s="21">
        <f>SUM('Y-高新:Y-中天鸿锂'!I24)</f>
        <v>0</v>
      </c>
      <c r="J24" s="21">
        <f>SUM('Y-高新:Y-中天鸿锂'!J24)</f>
        <v>0</v>
      </c>
      <c r="K24" s="21">
        <f>SUM('Y-高新:Y-中天鸿锂'!K24)</f>
        <v>0</v>
      </c>
      <c r="L24" s="21">
        <f>SUM('Y-高新:Y-中天鸿锂'!L24)</f>
        <v>0</v>
      </c>
      <c r="M24" s="21">
        <f>SUM('Y-高新:Y-中天鸿锂'!M24)</f>
        <v>0</v>
      </c>
      <c r="N24" s="21">
        <f>SUM('Y-高新:Y-中天鸿锂'!N24)</f>
        <v>0</v>
      </c>
      <c r="O24" s="21">
        <f>SUM('Y-高新:Y-中天鸿锂'!O24)</f>
        <v>0</v>
      </c>
      <c r="P24" s="47">
        <f t="shared" si="0"/>
        <v>10013.01</v>
      </c>
    </row>
    <row r="25" s="5" customFormat="1" ht="17.25" customHeight="1" spans="1:16">
      <c r="A25" s="22"/>
      <c r="B25" s="24"/>
      <c r="C25" s="25" t="s">
        <v>91</v>
      </c>
      <c r="D25" s="21">
        <f>SUM('Y-高新:Y-中天鸿锂'!D25)</f>
        <v>93016.25</v>
      </c>
      <c r="E25" s="21">
        <f>SUM('Y-高新:Y-中天鸿锂'!E25)</f>
        <v>93989.1699999999</v>
      </c>
      <c r="F25" s="21">
        <f>SUM('Y-高新:Y-中天鸿锂'!F25)</f>
        <v>60654.8</v>
      </c>
      <c r="G25" s="21">
        <f>SUM('Y-高新:Y-中天鸿锂'!G25)</f>
        <v>43606.76</v>
      </c>
      <c r="H25" s="21">
        <f>SUM('Y-高新:Y-中天鸿锂'!H25)</f>
        <v>0</v>
      </c>
      <c r="I25" s="21">
        <f>SUM('Y-高新:Y-中天鸿锂'!I25)</f>
        <v>0</v>
      </c>
      <c r="J25" s="21">
        <f>SUM('Y-高新:Y-中天鸿锂'!J25)</f>
        <v>0</v>
      </c>
      <c r="K25" s="21">
        <f>SUM('Y-高新:Y-中天鸿锂'!K25)</f>
        <v>0</v>
      </c>
      <c r="L25" s="21">
        <f>SUM('Y-高新:Y-中天鸿锂'!L25)</f>
        <v>0</v>
      </c>
      <c r="M25" s="21">
        <f>SUM('Y-高新:Y-中天鸿锂'!M25)</f>
        <v>0</v>
      </c>
      <c r="N25" s="21">
        <f>SUM('Y-高新:Y-中天鸿锂'!N25)</f>
        <v>0</v>
      </c>
      <c r="O25" s="21">
        <f>SUM('Y-高新:Y-中天鸿锂'!O25)</f>
        <v>0</v>
      </c>
      <c r="P25" s="47">
        <f t="shared" si="0"/>
        <v>291266.98</v>
      </c>
    </row>
    <row r="26" s="5" customFormat="1" ht="17.25" customHeight="1" spans="1:16">
      <c r="A26" s="22"/>
      <c r="B26" s="23"/>
      <c r="C26" s="25" t="s">
        <v>92</v>
      </c>
      <c r="D26" s="21">
        <f>SUM('Y-高新:Y-中天鸿锂'!D26)</f>
        <v>11390.92</v>
      </c>
      <c r="E26" s="21">
        <f>SUM('Y-高新:Y-中天鸿锂'!E26)</f>
        <v>11474.19</v>
      </c>
      <c r="F26" s="21">
        <f>SUM('Y-高新:Y-中天鸿锂'!F26)</f>
        <v>11022.8</v>
      </c>
      <c r="G26" s="21">
        <f>SUM('Y-高新:Y-中天鸿锂'!G26)</f>
        <v>7255.3</v>
      </c>
      <c r="H26" s="21">
        <f>SUM('Y-高新:Y-中天鸿锂'!H26)</f>
        <v>0</v>
      </c>
      <c r="I26" s="21">
        <f>SUM('Y-高新:Y-中天鸿锂'!I26)</f>
        <v>0</v>
      </c>
      <c r="J26" s="21">
        <f>SUM('Y-高新:Y-中天鸿锂'!J26)</f>
        <v>0</v>
      </c>
      <c r="K26" s="21">
        <f>SUM('Y-高新:Y-中天鸿锂'!K26)</f>
        <v>0</v>
      </c>
      <c r="L26" s="21">
        <f>SUM('Y-高新:Y-中天鸿锂'!L26)</f>
        <v>0</v>
      </c>
      <c r="M26" s="21">
        <f>SUM('Y-高新:Y-中天鸿锂'!M26)</f>
        <v>0</v>
      </c>
      <c r="N26" s="21">
        <f>SUM('Y-高新:Y-中天鸿锂'!N26)</f>
        <v>0</v>
      </c>
      <c r="O26" s="21">
        <f>SUM('Y-高新:Y-中天鸿锂'!O26)</f>
        <v>0</v>
      </c>
      <c r="P26" s="47">
        <f t="shared" si="0"/>
        <v>41143.21</v>
      </c>
    </row>
    <row r="27" s="5" customFormat="1" ht="17.25" customHeight="1" spans="1:16">
      <c r="A27" s="22"/>
      <c r="B27" s="19" t="s">
        <v>93</v>
      </c>
      <c r="C27" s="20" t="s">
        <v>93</v>
      </c>
      <c r="D27" s="21">
        <f>SUM('Y-高新:Y-中天鸿锂'!D27)</f>
        <v>0</v>
      </c>
      <c r="E27" s="21">
        <f>SUM('Y-高新:Y-中天鸿锂'!E27)</f>
        <v>0</v>
      </c>
      <c r="F27" s="21">
        <f>SUM('Y-高新:Y-中天鸿锂'!F27)</f>
        <v>0</v>
      </c>
      <c r="G27" s="21">
        <f>SUM('Y-高新:Y-中天鸿锂'!G27)</f>
        <v>0</v>
      </c>
      <c r="H27" s="21">
        <f>SUM('Y-高新:Y-中天鸿锂'!H27)</f>
        <v>0</v>
      </c>
      <c r="I27" s="21">
        <f>SUM('Y-高新:Y-中天鸿锂'!I27)</f>
        <v>0</v>
      </c>
      <c r="J27" s="21">
        <f>SUM('Y-高新:Y-中天鸿锂'!J27)</f>
        <v>0</v>
      </c>
      <c r="K27" s="21">
        <f>SUM('Y-高新:Y-中天鸿锂'!K27)</f>
        <v>0</v>
      </c>
      <c r="L27" s="21">
        <f>SUM('Y-高新:Y-中天鸿锂'!L27)</f>
        <v>0</v>
      </c>
      <c r="M27" s="21">
        <f>SUM('Y-高新:Y-中天鸿锂'!M27)</f>
        <v>0</v>
      </c>
      <c r="N27" s="21">
        <f>SUM('Y-高新:Y-中天鸿锂'!N27)</f>
        <v>0</v>
      </c>
      <c r="O27" s="21">
        <f>SUM('Y-高新:Y-中天鸿锂'!O27)</f>
        <v>0</v>
      </c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>
        <f>SUM('Y-高新:Y-中天鸿锂'!D28)</f>
        <v>0</v>
      </c>
      <c r="E28" s="21">
        <f>SUM('Y-高新:Y-中天鸿锂'!E28)</f>
        <v>342</v>
      </c>
      <c r="F28" s="21">
        <f>SUM('Y-高新:Y-中天鸿锂'!F28)</f>
        <v>0</v>
      </c>
      <c r="G28" s="21">
        <f>SUM('Y-高新:Y-中天鸿锂'!G28)</f>
        <v>150.82</v>
      </c>
      <c r="H28" s="21">
        <f>SUM('Y-高新:Y-中天鸿锂'!H28)</f>
        <v>0</v>
      </c>
      <c r="I28" s="21">
        <f>SUM('Y-高新:Y-中天鸿锂'!I28)</f>
        <v>0</v>
      </c>
      <c r="J28" s="21">
        <f>SUM('Y-高新:Y-中天鸿锂'!J28)</f>
        <v>0</v>
      </c>
      <c r="K28" s="21">
        <f>SUM('Y-高新:Y-中天鸿锂'!K28)</f>
        <v>0</v>
      </c>
      <c r="L28" s="21">
        <f>SUM('Y-高新:Y-中天鸿锂'!L28)</f>
        <v>0</v>
      </c>
      <c r="M28" s="21">
        <f>SUM('Y-高新:Y-中天鸿锂'!M28)</f>
        <v>0</v>
      </c>
      <c r="N28" s="21">
        <f>SUM('Y-高新:Y-中天鸿锂'!N28)</f>
        <v>0</v>
      </c>
      <c r="O28" s="21">
        <f>SUM('Y-高新:Y-中天鸿锂'!O28)</f>
        <v>0</v>
      </c>
      <c r="P28" s="47">
        <f t="shared" si="0"/>
        <v>492.82</v>
      </c>
    </row>
    <row r="29" s="5" customFormat="1" ht="17.25" customHeight="1" spans="1:16">
      <c r="A29" s="28"/>
      <c r="B29" s="23"/>
      <c r="C29" s="20" t="s">
        <v>97</v>
      </c>
      <c r="D29" s="21">
        <f>SUM('Y-高新:Y-中天鸿锂'!D29)</f>
        <v>927.58</v>
      </c>
      <c r="E29" s="21">
        <f>SUM('Y-高新:Y-中天鸿锂'!E29)</f>
        <v>466.7</v>
      </c>
      <c r="F29" s="21">
        <f>SUM('Y-高新:Y-中天鸿锂'!F29)</f>
        <v>739.35</v>
      </c>
      <c r="G29" s="21">
        <f>SUM('Y-高新:Y-中天鸿锂'!G29)</f>
        <v>2624.13</v>
      </c>
      <c r="H29" s="21">
        <f>SUM('Y-高新:Y-中天鸿锂'!H29)</f>
        <v>0</v>
      </c>
      <c r="I29" s="21">
        <f>SUM('Y-高新:Y-中天鸿锂'!I29)</f>
        <v>0</v>
      </c>
      <c r="J29" s="21">
        <f>SUM('Y-高新:Y-中天鸿锂'!J29)</f>
        <v>0</v>
      </c>
      <c r="K29" s="21">
        <f>SUM('Y-高新:Y-中天鸿锂'!K29)</f>
        <v>0</v>
      </c>
      <c r="L29" s="21">
        <f>SUM('Y-高新:Y-中天鸿锂'!L29)</f>
        <v>0</v>
      </c>
      <c r="M29" s="21">
        <f>SUM('Y-高新:Y-中天鸿锂'!M29)</f>
        <v>0</v>
      </c>
      <c r="N29" s="21">
        <f>SUM('Y-高新:Y-中天鸿锂'!N29)</f>
        <v>0</v>
      </c>
      <c r="O29" s="21">
        <f>SUM('Y-高新:Y-中天鸿锂'!O29)</f>
        <v>0</v>
      </c>
      <c r="P29" s="47">
        <f t="shared" si="0"/>
        <v>4757.76</v>
      </c>
    </row>
    <row r="30" s="5" customFormat="1" ht="17.25" customHeight="1" spans="1:16">
      <c r="A30" s="28"/>
      <c r="B30" s="26" t="s">
        <v>98</v>
      </c>
      <c r="C30" s="25" t="s">
        <v>98</v>
      </c>
      <c r="D30" s="21">
        <f>SUM('Y-高新:Y-中天鸿锂'!D30)</f>
        <v>0</v>
      </c>
      <c r="E30" s="21">
        <f>SUM('Y-高新:Y-中天鸿锂'!E30)</f>
        <v>0</v>
      </c>
      <c r="F30" s="21">
        <f>SUM('Y-高新:Y-中天鸿锂'!F30)</f>
        <v>5600</v>
      </c>
      <c r="G30" s="21">
        <f>SUM('Y-高新:Y-中天鸿锂'!G30)</f>
        <v>0</v>
      </c>
      <c r="H30" s="21">
        <f>SUM('Y-高新:Y-中天鸿锂'!H30)</f>
        <v>0</v>
      </c>
      <c r="I30" s="21">
        <f>SUM('Y-高新:Y-中天鸿锂'!I30)</f>
        <v>0</v>
      </c>
      <c r="J30" s="21">
        <f>SUM('Y-高新:Y-中天鸿锂'!J30)</f>
        <v>0</v>
      </c>
      <c r="K30" s="21">
        <f>SUM('Y-高新:Y-中天鸿锂'!K30)</f>
        <v>0</v>
      </c>
      <c r="L30" s="21">
        <f>SUM('Y-高新:Y-中天鸿锂'!L30)</f>
        <v>0</v>
      </c>
      <c r="M30" s="21">
        <f>SUM('Y-高新:Y-中天鸿锂'!M30)</f>
        <v>0</v>
      </c>
      <c r="N30" s="21">
        <f>SUM('Y-高新:Y-中天鸿锂'!N30)</f>
        <v>0</v>
      </c>
      <c r="O30" s="21">
        <f>SUM('Y-高新:Y-中天鸿锂'!O30)</f>
        <v>0</v>
      </c>
      <c r="P30" s="47">
        <f t="shared" si="0"/>
        <v>5600</v>
      </c>
    </row>
    <row r="31" s="5" customFormat="1" ht="17.25" customHeight="1" spans="1:16">
      <c r="A31" s="28"/>
      <c r="B31" s="19" t="s">
        <v>99</v>
      </c>
      <c r="C31" s="25" t="s">
        <v>100</v>
      </c>
      <c r="D31" s="21">
        <f>SUM('Y-高新:Y-中天鸿锂'!D31)</f>
        <v>0</v>
      </c>
      <c r="E31" s="21">
        <f>SUM('Y-高新:Y-中天鸿锂'!E31)</f>
        <v>0</v>
      </c>
      <c r="F31" s="21">
        <f>SUM('Y-高新:Y-中天鸿锂'!F31)</f>
        <v>0</v>
      </c>
      <c r="G31" s="21">
        <f>SUM('Y-高新:Y-中天鸿锂'!G31)</f>
        <v>0</v>
      </c>
      <c r="H31" s="21">
        <f>SUM('Y-高新:Y-中天鸿锂'!H31)</f>
        <v>0</v>
      </c>
      <c r="I31" s="21">
        <f>SUM('Y-高新:Y-中天鸿锂'!I31)</f>
        <v>0</v>
      </c>
      <c r="J31" s="21">
        <f>SUM('Y-高新:Y-中天鸿锂'!J31)</f>
        <v>0</v>
      </c>
      <c r="K31" s="21">
        <f>SUM('Y-高新:Y-中天鸿锂'!K31)</f>
        <v>0</v>
      </c>
      <c r="L31" s="21">
        <f>SUM('Y-高新:Y-中天鸿锂'!L31)</f>
        <v>0</v>
      </c>
      <c r="M31" s="21">
        <f>SUM('Y-高新:Y-中天鸿锂'!M31)</f>
        <v>0</v>
      </c>
      <c r="N31" s="21">
        <f>SUM('Y-高新:Y-中天鸿锂'!N31)</f>
        <v>0</v>
      </c>
      <c r="O31" s="21">
        <f>SUM('Y-高新:Y-中天鸿锂'!O31)</f>
        <v>0</v>
      </c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>
        <f>SUM('Y-高新:Y-中天鸿锂'!D32)</f>
        <v>0</v>
      </c>
      <c r="E32" s="21">
        <f>SUM('Y-高新:Y-中天鸿锂'!E32)</f>
        <v>0</v>
      </c>
      <c r="F32" s="21">
        <f>SUM('Y-高新:Y-中天鸿锂'!F32)</f>
        <v>0</v>
      </c>
      <c r="G32" s="21">
        <f>SUM('Y-高新:Y-中天鸿锂'!G32)</f>
        <v>0</v>
      </c>
      <c r="H32" s="21">
        <f>SUM('Y-高新:Y-中天鸿锂'!H32)</f>
        <v>0</v>
      </c>
      <c r="I32" s="21">
        <f>SUM('Y-高新:Y-中天鸿锂'!I32)</f>
        <v>0</v>
      </c>
      <c r="J32" s="21">
        <f>SUM('Y-高新:Y-中天鸿锂'!J32)</f>
        <v>0</v>
      </c>
      <c r="K32" s="21">
        <f>SUM('Y-高新:Y-中天鸿锂'!K32)</f>
        <v>0</v>
      </c>
      <c r="L32" s="21">
        <f>SUM('Y-高新:Y-中天鸿锂'!L32)</f>
        <v>0</v>
      </c>
      <c r="M32" s="21">
        <f>SUM('Y-高新:Y-中天鸿锂'!M32)</f>
        <v>0</v>
      </c>
      <c r="N32" s="21">
        <f>SUM('Y-高新:Y-中天鸿锂'!N32)</f>
        <v>0</v>
      </c>
      <c r="O32" s="21">
        <f>SUM('Y-高新:Y-中天鸿锂'!O32)</f>
        <v>0</v>
      </c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>
        <f>SUM('Y-高新:Y-中天鸿锂'!D33)</f>
        <v>368</v>
      </c>
      <c r="E33" s="21">
        <f>SUM('Y-高新:Y-中天鸿锂'!E33)</f>
        <v>965</v>
      </c>
      <c r="F33" s="21">
        <f>SUM('Y-高新:Y-中天鸿锂'!F33)</f>
        <v>552.27</v>
      </c>
      <c r="G33" s="21">
        <f>SUM('Y-高新:Y-中天鸿锂'!G33)</f>
        <v>118</v>
      </c>
      <c r="H33" s="21">
        <f>SUM('Y-高新:Y-中天鸿锂'!H33)</f>
        <v>0</v>
      </c>
      <c r="I33" s="21">
        <f>SUM('Y-高新:Y-中天鸿锂'!I33)</f>
        <v>0</v>
      </c>
      <c r="J33" s="21">
        <f>SUM('Y-高新:Y-中天鸿锂'!J33)</f>
        <v>0</v>
      </c>
      <c r="K33" s="21">
        <f>SUM('Y-高新:Y-中天鸿锂'!K33)</f>
        <v>0</v>
      </c>
      <c r="L33" s="21">
        <f>SUM('Y-高新:Y-中天鸿锂'!L33)</f>
        <v>0</v>
      </c>
      <c r="M33" s="21">
        <f>SUM('Y-高新:Y-中天鸿锂'!M33)</f>
        <v>0</v>
      </c>
      <c r="N33" s="21">
        <f>SUM('Y-高新:Y-中天鸿锂'!N33)</f>
        <v>0</v>
      </c>
      <c r="O33" s="21">
        <f>SUM('Y-高新:Y-中天鸿锂'!O33)</f>
        <v>0</v>
      </c>
      <c r="P33" s="47">
        <f t="shared" si="0"/>
        <v>2003.27</v>
      </c>
    </row>
    <row r="34" s="5" customFormat="1" ht="17.25" customHeight="1" spans="1:16">
      <c r="A34" s="28"/>
      <c r="B34" s="19" t="s">
        <v>103</v>
      </c>
      <c r="C34" s="25" t="s">
        <v>104</v>
      </c>
      <c r="D34" s="21">
        <f>SUM('Y-高新:Y-中天鸿锂'!D34)</f>
        <v>30680.77</v>
      </c>
      <c r="E34" s="21">
        <f>SUM('Y-高新:Y-中天鸿锂'!E34)</f>
        <v>17959.77</v>
      </c>
      <c r="F34" s="21">
        <f>SUM('Y-高新:Y-中天鸿锂'!F34)</f>
        <v>12451.01</v>
      </c>
      <c r="G34" s="21">
        <f>SUM('Y-高新:Y-中天鸿锂'!G34)</f>
        <v>36027.09</v>
      </c>
      <c r="H34" s="21">
        <f>SUM('Y-高新:Y-中天鸿锂'!H34)</f>
        <v>0</v>
      </c>
      <c r="I34" s="21">
        <f>SUM('Y-高新:Y-中天鸿锂'!I34)</f>
        <v>0</v>
      </c>
      <c r="J34" s="21">
        <f>SUM('Y-高新:Y-中天鸿锂'!J34)</f>
        <v>0</v>
      </c>
      <c r="K34" s="21">
        <f>SUM('Y-高新:Y-中天鸿锂'!K34)</f>
        <v>0</v>
      </c>
      <c r="L34" s="21">
        <f>SUM('Y-高新:Y-中天鸿锂'!L34)</f>
        <v>0</v>
      </c>
      <c r="M34" s="21">
        <f>SUM('Y-高新:Y-中天鸿锂'!M34)</f>
        <v>0</v>
      </c>
      <c r="N34" s="21">
        <f>SUM('Y-高新:Y-中天鸿锂'!N34)</f>
        <v>0</v>
      </c>
      <c r="O34" s="21">
        <f>SUM('Y-高新:Y-中天鸿锂'!O34)</f>
        <v>0</v>
      </c>
      <c r="P34" s="47">
        <f t="shared" si="0"/>
        <v>97118.64</v>
      </c>
    </row>
    <row r="35" s="5" customFormat="1" ht="17.25" customHeight="1" spans="1:16">
      <c r="A35" s="28"/>
      <c r="B35" s="23"/>
      <c r="C35" s="25" t="s">
        <v>105</v>
      </c>
      <c r="D35" s="21">
        <f>SUM('Y-高新:Y-中天鸿锂'!D35)</f>
        <v>0</v>
      </c>
      <c r="E35" s="21">
        <f>SUM('Y-高新:Y-中天鸿锂'!E35)</f>
        <v>0</v>
      </c>
      <c r="F35" s="21">
        <f>SUM('Y-高新:Y-中天鸿锂'!F35)</f>
        <v>0</v>
      </c>
      <c r="G35" s="21">
        <f>SUM('Y-高新:Y-中天鸿锂'!G35)</f>
        <v>0</v>
      </c>
      <c r="H35" s="21">
        <f>SUM('Y-高新:Y-中天鸿锂'!H35)</f>
        <v>0</v>
      </c>
      <c r="I35" s="21">
        <f>SUM('Y-高新:Y-中天鸿锂'!I35)</f>
        <v>0</v>
      </c>
      <c r="J35" s="21">
        <f>SUM('Y-高新:Y-中天鸿锂'!J35)</f>
        <v>0</v>
      </c>
      <c r="K35" s="21">
        <f>SUM('Y-高新:Y-中天鸿锂'!K35)</f>
        <v>0</v>
      </c>
      <c r="L35" s="21">
        <f>SUM('Y-高新:Y-中天鸿锂'!L35)</f>
        <v>0</v>
      </c>
      <c r="M35" s="21">
        <f>SUM('Y-高新:Y-中天鸿锂'!M35)</f>
        <v>0</v>
      </c>
      <c r="N35" s="21">
        <f>SUM('Y-高新:Y-中天鸿锂'!N35)</f>
        <v>0</v>
      </c>
      <c r="O35" s="21">
        <f>SUM('Y-高新:Y-中天鸿锂'!O35)</f>
        <v>0</v>
      </c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>
        <f>SUM('Y-高新:Y-中天鸿锂'!D36)</f>
        <v>0</v>
      </c>
      <c r="E36" s="21">
        <f>SUM('Y-高新:Y-中天鸿锂'!E36)</f>
        <v>1030</v>
      </c>
      <c r="F36" s="21">
        <f>SUM('Y-高新:Y-中天鸿锂'!F36)</f>
        <v>2471.53</v>
      </c>
      <c r="G36" s="21">
        <f>SUM('Y-高新:Y-中天鸿锂'!G36)</f>
        <v>10004.96</v>
      </c>
      <c r="H36" s="21">
        <f>SUM('Y-高新:Y-中天鸿锂'!H36)</f>
        <v>0</v>
      </c>
      <c r="I36" s="21">
        <f>SUM('Y-高新:Y-中天鸿锂'!I36)</f>
        <v>0</v>
      </c>
      <c r="J36" s="21">
        <f>SUM('Y-高新:Y-中天鸿锂'!J36)</f>
        <v>0</v>
      </c>
      <c r="K36" s="21">
        <f>SUM('Y-高新:Y-中天鸿锂'!K36)</f>
        <v>0</v>
      </c>
      <c r="L36" s="21">
        <f>SUM('Y-高新:Y-中天鸿锂'!L36)</f>
        <v>0</v>
      </c>
      <c r="M36" s="21">
        <f>SUM('Y-高新:Y-中天鸿锂'!M36)</f>
        <v>0</v>
      </c>
      <c r="N36" s="21">
        <f>SUM('Y-高新:Y-中天鸿锂'!N36)</f>
        <v>0</v>
      </c>
      <c r="O36" s="21">
        <f>SUM('Y-高新:Y-中天鸿锂'!O36)</f>
        <v>0</v>
      </c>
      <c r="P36" s="47">
        <f t="shared" si="0"/>
        <v>13506.49</v>
      </c>
    </row>
    <row r="37" s="5" customFormat="1" ht="17.25" customHeight="1" spans="1:16">
      <c r="A37" s="28"/>
      <c r="B37" s="26" t="s">
        <v>107</v>
      </c>
      <c r="C37" s="25" t="s">
        <v>107</v>
      </c>
      <c r="D37" s="21">
        <f>SUM('Y-高新:Y-中天鸿锂'!D37)</f>
        <v>19185.95</v>
      </c>
      <c r="E37" s="21">
        <f>SUM('Y-高新:Y-中天鸿锂'!E37)</f>
        <v>-40884</v>
      </c>
      <c r="F37" s="21">
        <f>SUM('Y-高新:Y-中天鸿锂'!F37)</f>
        <v>7795</v>
      </c>
      <c r="G37" s="21">
        <f>SUM('Y-高新:Y-中天鸿锂'!G37)</f>
        <v>20531.75</v>
      </c>
      <c r="H37" s="21">
        <f>SUM('Y-高新:Y-中天鸿锂'!H37)</f>
        <v>0</v>
      </c>
      <c r="I37" s="21">
        <f>SUM('Y-高新:Y-中天鸿锂'!I37)</f>
        <v>0</v>
      </c>
      <c r="J37" s="21">
        <f>SUM('Y-高新:Y-中天鸿锂'!J37)</f>
        <v>0</v>
      </c>
      <c r="K37" s="21">
        <f>SUM('Y-高新:Y-中天鸿锂'!K37)</f>
        <v>0</v>
      </c>
      <c r="L37" s="21">
        <f>SUM('Y-高新:Y-中天鸿锂'!L37)</f>
        <v>0</v>
      </c>
      <c r="M37" s="21">
        <f>SUM('Y-高新:Y-中天鸿锂'!M37)</f>
        <v>0</v>
      </c>
      <c r="N37" s="21">
        <f>SUM('Y-高新:Y-中天鸿锂'!N37)</f>
        <v>0</v>
      </c>
      <c r="O37" s="21">
        <f>SUM('Y-高新:Y-中天鸿锂'!O37)</f>
        <v>0</v>
      </c>
      <c r="P37" s="47">
        <f t="shared" si="0"/>
        <v>6628.7</v>
      </c>
    </row>
    <row r="38" s="5" customFormat="1" ht="17.25" customHeight="1" spans="1:16">
      <c r="A38" s="28"/>
      <c r="B38" s="19" t="s">
        <v>108</v>
      </c>
      <c r="C38" s="25" t="s">
        <v>109</v>
      </c>
      <c r="D38" s="21">
        <f>SUM('Y-高新:Y-中天鸿锂'!D38)</f>
        <v>0</v>
      </c>
      <c r="E38" s="21">
        <f>SUM('Y-高新:Y-中天鸿锂'!E38)</f>
        <v>10000</v>
      </c>
      <c r="F38" s="21">
        <f>SUM('Y-高新:Y-中天鸿锂'!F38)</f>
        <v>0</v>
      </c>
      <c r="G38" s="21">
        <f>SUM('Y-高新:Y-中天鸿锂'!G38)</f>
        <v>17000</v>
      </c>
      <c r="H38" s="21">
        <f>SUM('Y-高新:Y-中天鸿锂'!H38)</f>
        <v>0</v>
      </c>
      <c r="I38" s="21">
        <f>SUM('Y-高新:Y-中天鸿锂'!I38)</f>
        <v>0</v>
      </c>
      <c r="J38" s="21">
        <f>SUM('Y-高新:Y-中天鸿锂'!J38)</f>
        <v>0</v>
      </c>
      <c r="K38" s="21">
        <f>SUM('Y-高新:Y-中天鸿锂'!K38)</f>
        <v>0</v>
      </c>
      <c r="L38" s="21">
        <f>SUM('Y-高新:Y-中天鸿锂'!L38)</f>
        <v>0</v>
      </c>
      <c r="M38" s="21">
        <f>SUM('Y-高新:Y-中天鸿锂'!M38)</f>
        <v>0</v>
      </c>
      <c r="N38" s="21">
        <f>SUM('Y-高新:Y-中天鸿锂'!N38)</f>
        <v>0</v>
      </c>
      <c r="O38" s="21">
        <f>SUM('Y-高新:Y-中天鸿锂'!O38)</f>
        <v>0</v>
      </c>
      <c r="P38" s="47">
        <f t="shared" si="0"/>
        <v>27000</v>
      </c>
    </row>
    <row r="39" s="5" customFormat="1" ht="17.25" customHeight="1" spans="1:16">
      <c r="A39" s="28"/>
      <c r="B39" s="23"/>
      <c r="C39" s="25" t="s">
        <v>110</v>
      </c>
      <c r="D39" s="21">
        <f>SUM('Y-高新:Y-中天鸿锂'!D39)</f>
        <v>3176.19</v>
      </c>
      <c r="E39" s="21">
        <f>SUM('Y-高新:Y-中天鸿锂'!E39)</f>
        <v>0</v>
      </c>
      <c r="F39" s="21">
        <f>SUM('Y-高新:Y-中天鸿锂'!F39)</f>
        <v>722.85</v>
      </c>
      <c r="G39" s="21">
        <f>SUM('Y-高新:Y-中天鸿锂'!G39)</f>
        <v>5640.96</v>
      </c>
      <c r="H39" s="21">
        <f>SUM('Y-高新:Y-中天鸿锂'!H39)</f>
        <v>0</v>
      </c>
      <c r="I39" s="21">
        <f>SUM('Y-高新:Y-中天鸿锂'!I39)</f>
        <v>0</v>
      </c>
      <c r="J39" s="21">
        <f>SUM('Y-高新:Y-中天鸿锂'!J39)</f>
        <v>0</v>
      </c>
      <c r="K39" s="21">
        <f>SUM('Y-高新:Y-中天鸿锂'!K39)</f>
        <v>0</v>
      </c>
      <c r="L39" s="21">
        <f>SUM('Y-高新:Y-中天鸿锂'!L39)</f>
        <v>0</v>
      </c>
      <c r="M39" s="21">
        <f>SUM('Y-高新:Y-中天鸿锂'!M39)</f>
        <v>0</v>
      </c>
      <c r="N39" s="21">
        <f>SUM('Y-高新:Y-中天鸿锂'!N39)</f>
        <v>0</v>
      </c>
      <c r="O39" s="21">
        <f>SUM('Y-高新:Y-中天鸿锂'!O39)</f>
        <v>0</v>
      </c>
      <c r="P39" s="47">
        <f t="shared" si="0"/>
        <v>9540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>
        <f>SUM('Y-高新:Y-中天鸿锂'!D40)</f>
        <v>0</v>
      </c>
      <c r="E40" s="21">
        <f>SUM('Y-高新:Y-中天鸿锂'!E40)</f>
        <v>0</v>
      </c>
      <c r="F40" s="21">
        <f>SUM('Y-高新:Y-中天鸿锂'!F40)</f>
        <v>0</v>
      </c>
      <c r="G40" s="21">
        <f>SUM('Y-高新:Y-中天鸿锂'!G40)</f>
        <v>0</v>
      </c>
      <c r="H40" s="21">
        <f>SUM('Y-高新:Y-中天鸿锂'!H40)</f>
        <v>0</v>
      </c>
      <c r="I40" s="21">
        <f>SUM('Y-高新:Y-中天鸿锂'!I40)</f>
        <v>0</v>
      </c>
      <c r="J40" s="21">
        <f>SUM('Y-高新:Y-中天鸿锂'!J40)</f>
        <v>0</v>
      </c>
      <c r="K40" s="21">
        <f>SUM('Y-高新:Y-中天鸿锂'!K40)</f>
        <v>0</v>
      </c>
      <c r="L40" s="21">
        <f>SUM('Y-高新:Y-中天鸿锂'!L40)</f>
        <v>0</v>
      </c>
      <c r="M40" s="21">
        <f>SUM('Y-高新:Y-中天鸿锂'!M40)</f>
        <v>0</v>
      </c>
      <c r="N40" s="21">
        <f>SUM('Y-高新:Y-中天鸿锂'!N40)</f>
        <v>0</v>
      </c>
      <c r="O40" s="21">
        <f>SUM('Y-高新:Y-中天鸿锂'!O40)</f>
        <v>0</v>
      </c>
      <c r="P40" s="47">
        <f t="shared" si="0"/>
        <v>0</v>
      </c>
    </row>
    <row r="41" s="5" customFormat="1" ht="17.25" customHeight="1" spans="1:16">
      <c r="A41" s="29" t="s">
        <v>112</v>
      </c>
      <c r="B41" s="30" t="s">
        <v>113</v>
      </c>
      <c r="C41" s="20" t="s">
        <v>113</v>
      </c>
      <c r="D41" s="21">
        <f>SUM('Y-高新:Y-中天鸿锂'!D41)</f>
        <v>-591.46</v>
      </c>
      <c r="E41" s="21">
        <f>SUM('Y-高新:Y-中天鸿锂'!E41)</f>
        <v>10201.24</v>
      </c>
      <c r="F41" s="21">
        <f>SUM('Y-高新:Y-中天鸿锂'!F41)</f>
        <v>4596.17</v>
      </c>
      <c r="G41" s="21">
        <f>SUM('Y-高新:Y-中天鸿锂'!G41)</f>
        <v>39559.95</v>
      </c>
      <c r="H41" s="21">
        <f>SUM('Y-高新:Y-中天鸿锂'!H41)</f>
        <v>0</v>
      </c>
      <c r="I41" s="21">
        <f>SUM('Y-高新:Y-中天鸿锂'!I41)</f>
        <v>0</v>
      </c>
      <c r="J41" s="21">
        <f>SUM('Y-高新:Y-中天鸿锂'!J41)</f>
        <v>0</v>
      </c>
      <c r="K41" s="21">
        <f>SUM('Y-高新:Y-中天鸿锂'!K41)</f>
        <v>0</v>
      </c>
      <c r="L41" s="21">
        <f>SUM('Y-高新:Y-中天鸿锂'!L41)</f>
        <v>0</v>
      </c>
      <c r="M41" s="21">
        <f>SUM('Y-高新:Y-中天鸿锂'!M41)</f>
        <v>0</v>
      </c>
      <c r="N41" s="21">
        <f>SUM('Y-高新:Y-中天鸿锂'!N41)</f>
        <v>0</v>
      </c>
      <c r="O41" s="21">
        <f>SUM('Y-高新:Y-中天鸿锂'!O41)</f>
        <v>0</v>
      </c>
      <c r="P41" s="47">
        <f t="shared" si="0"/>
        <v>53765.9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f>SUM('Y-高新:Y-中天鸿锂'!D42)</f>
        <v>1521.08</v>
      </c>
      <c r="E42" s="21">
        <f>SUM('Y-高新:Y-中天鸿锂'!E42)</f>
        <v>5861.35</v>
      </c>
      <c r="F42" s="21">
        <f>SUM('Y-高新:Y-中天鸿锂'!F42)</f>
        <v>6761.71</v>
      </c>
      <c r="G42" s="21">
        <f>SUM('Y-高新:Y-中天鸿锂'!G42)</f>
        <v>4942.22</v>
      </c>
      <c r="H42" s="21">
        <f>SUM('Y-高新:Y-中天鸿锂'!H42)</f>
        <v>0</v>
      </c>
      <c r="I42" s="21">
        <f>SUM('Y-高新:Y-中天鸿锂'!I42)</f>
        <v>0</v>
      </c>
      <c r="J42" s="21">
        <f>SUM('Y-高新:Y-中天鸿锂'!J42)</f>
        <v>0</v>
      </c>
      <c r="K42" s="21">
        <f>SUM('Y-高新:Y-中天鸿锂'!K42)</f>
        <v>0</v>
      </c>
      <c r="L42" s="21">
        <f>SUM('Y-高新:Y-中天鸿锂'!L42)</f>
        <v>0</v>
      </c>
      <c r="M42" s="21">
        <f>SUM('Y-高新:Y-中天鸿锂'!M42)</f>
        <v>0</v>
      </c>
      <c r="N42" s="21">
        <f>SUM('Y-高新:Y-中天鸿锂'!N42)</f>
        <v>0</v>
      </c>
      <c r="O42" s="21">
        <f>SUM('Y-高新:Y-中天鸿锂'!O42)</f>
        <v>0</v>
      </c>
      <c r="P42" s="47">
        <f t="shared" si="0"/>
        <v>19086.36</v>
      </c>
    </row>
    <row r="43" s="5" customFormat="1" ht="17.25" customHeight="1" spans="1:16">
      <c r="A43" s="31"/>
      <c r="B43" s="19" t="s">
        <v>115</v>
      </c>
      <c r="C43" s="32" t="s">
        <v>115</v>
      </c>
      <c r="D43" s="21">
        <f>SUM('Y-高新:Y-中天鸿锂'!D43)</f>
        <v>0</v>
      </c>
      <c r="E43" s="21">
        <f>SUM('Y-高新:Y-中天鸿锂'!E43)</f>
        <v>0</v>
      </c>
      <c r="F43" s="21">
        <f>SUM('Y-高新:Y-中天鸿锂'!F43)</f>
        <v>0</v>
      </c>
      <c r="G43" s="21">
        <f>SUM('Y-高新:Y-中天鸿锂'!G43)</f>
        <v>0</v>
      </c>
      <c r="H43" s="21">
        <f>SUM('Y-高新:Y-中天鸿锂'!H43)</f>
        <v>0</v>
      </c>
      <c r="I43" s="21">
        <f>SUM('Y-高新:Y-中天鸿锂'!I43)</f>
        <v>0</v>
      </c>
      <c r="J43" s="21">
        <f>SUM('Y-高新:Y-中天鸿锂'!J43)</f>
        <v>0</v>
      </c>
      <c r="K43" s="21">
        <f>SUM('Y-高新:Y-中天鸿锂'!K43)</f>
        <v>0</v>
      </c>
      <c r="L43" s="21">
        <f>SUM('Y-高新:Y-中天鸿锂'!L43)</f>
        <v>0</v>
      </c>
      <c r="M43" s="21">
        <f>SUM('Y-高新:Y-中天鸿锂'!M43)</f>
        <v>0</v>
      </c>
      <c r="N43" s="21">
        <f>SUM('Y-高新:Y-中天鸿锂'!N43)</f>
        <v>0</v>
      </c>
      <c r="O43" s="21">
        <f>SUM('Y-高新:Y-中天鸿锂'!O43)</f>
        <v>0</v>
      </c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>
        <f>SUM('Y-高新:Y-中天鸿锂'!D44)</f>
        <v>0</v>
      </c>
      <c r="E44" s="21">
        <f>SUM('Y-高新:Y-中天鸿锂'!E44)</f>
        <v>0</v>
      </c>
      <c r="F44" s="21">
        <f>SUM('Y-高新:Y-中天鸿锂'!F44)</f>
        <v>0</v>
      </c>
      <c r="G44" s="21">
        <f>SUM('Y-高新:Y-中天鸿锂'!G44)</f>
        <v>0</v>
      </c>
      <c r="H44" s="21">
        <f>SUM('Y-高新:Y-中天鸿锂'!H44)</f>
        <v>0</v>
      </c>
      <c r="I44" s="21">
        <f>SUM('Y-高新:Y-中天鸿锂'!I44)</f>
        <v>0</v>
      </c>
      <c r="J44" s="21">
        <f>SUM('Y-高新:Y-中天鸿锂'!J44)</f>
        <v>0</v>
      </c>
      <c r="K44" s="21">
        <f>SUM('Y-高新:Y-中天鸿锂'!K44)</f>
        <v>0</v>
      </c>
      <c r="L44" s="21">
        <f>SUM('Y-高新:Y-中天鸿锂'!L44)</f>
        <v>0</v>
      </c>
      <c r="M44" s="21">
        <f>SUM('Y-高新:Y-中天鸿锂'!M44)</f>
        <v>0</v>
      </c>
      <c r="N44" s="21">
        <f>SUM('Y-高新:Y-中天鸿锂'!N44)</f>
        <v>0</v>
      </c>
      <c r="O44" s="21">
        <f>SUM('Y-高新:Y-中天鸿锂'!O44)</f>
        <v>0</v>
      </c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>
        <f>SUM('Y-高新:Y-中天鸿锂'!D45)</f>
        <v>0</v>
      </c>
      <c r="E45" s="21">
        <f>SUM('Y-高新:Y-中天鸿锂'!E45)</f>
        <v>0</v>
      </c>
      <c r="F45" s="21">
        <f>SUM('Y-高新:Y-中天鸿锂'!F45)</f>
        <v>0</v>
      </c>
      <c r="G45" s="21">
        <f>SUM('Y-高新:Y-中天鸿锂'!G45)</f>
        <v>0</v>
      </c>
      <c r="H45" s="21">
        <f>SUM('Y-高新:Y-中天鸿锂'!H45)</f>
        <v>0</v>
      </c>
      <c r="I45" s="21">
        <f>SUM('Y-高新:Y-中天鸿锂'!I45)</f>
        <v>0</v>
      </c>
      <c r="J45" s="21">
        <f>SUM('Y-高新:Y-中天鸿锂'!J45)</f>
        <v>0</v>
      </c>
      <c r="K45" s="21">
        <f>SUM('Y-高新:Y-中天鸿锂'!K45)</f>
        <v>0</v>
      </c>
      <c r="L45" s="21">
        <f>SUM('Y-高新:Y-中天鸿锂'!L45)</f>
        <v>0</v>
      </c>
      <c r="M45" s="21">
        <f>SUM('Y-高新:Y-中天鸿锂'!M45)</f>
        <v>0</v>
      </c>
      <c r="N45" s="21">
        <f>SUM('Y-高新:Y-中天鸿锂'!N45)</f>
        <v>0</v>
      </c>
      <c r="O45" s="21">
        <f>SUM('Y-高新:Y-中天鸿锂'!O45)</f>
        <v>0</v>
      </c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f>SUM('Y-高新:Y-中天鸿锂'!D46)</f>
        <v>777941.89</v>
      </c>
      <c r="E46" s="21">
        <f>SUM('Y-高新:Y-中天鸿锂'!E46)</f>
        <v>798342.83</v>
      </c>
      <c r="F46" s="21">
        <f>SUM('Y-高新:Y-中天鸿锂'!F46)</f>
        <v>776017.89</v>
      </c>
      <c r="G46" s="21">
        <f>SUM('Y-高新:Y-中天鸿锂'!G46)</f>
        <v>769557.38</v>
      </c>
      <c r="H46" s="21">
        <f>SUM('Y-高新:Y-中天鸿锂'!H46)</f>
        <v>0</v>
      </c>
      <c r="I46" s="21">
        <f>SUM('Y-高新:Y-中天鸿锂'!I46)</f>
        <v>0</v>
      </c>
      <c r="J46" s="21">
        <f>SUM('Y-高新:Y-中天鸿锂'!J46)</f>
        <v>0</v>
      </c>
      <c r="K46" s="21">
        <f>SUM('Y-高新:Y-中天鸿锂'!K46)</f>
        <v>0</v>
      </c>
      <c r="L46" s="21">
        <f>SUM('Y-高新:Y-中天鸿锂'!L46)</f>
        <v>0</v>
      </c>
      <c r="M46" s="21">
        <f>SUM('Y-高新:Y-中天鸿锂'!M46)</f>
        <v>0</v>
      </c>
      <c r="N46" s="21">
        <f>SUM('Y-高新:Y-中天鸿锂'!N46)</f>
        <v>0</v>
      </c>
      <c r="O46" s="21">
        <f>SUM('Y-高新:Y-中天鸿锂'!O46)</f>
        <v>0</v>
      </c>
      <c r="P46" s="47">
        <f t="shared" si="0"/>
        <v>3121859.99</v>
      </c>
    </row>
    <row r="47" s="5" customFormat="1" ht="17.25" customHeight="1" spans="1:16">
      <c r="A47" s="31"/>
      <c r="B47" s="26" t="s">
        <v>120</v>
      </c>
      <c r="C47" s="33" t="s">
        <v>120</v>
      </c>
      <c r="D47" s="21">
        <f>SUM('Y-高新:Y-中天鸿锂'!D47)</f>
        <v>0</v>
      </c>
      <c r="E47" s="21">
        <f>SUM('Y-高新:Y-中天鸿锂'!E47)</f>
        <v>0</v>
      </c>
      <c r="F47" s="21">
        <f>SUM('Y-高新:Y-中天鸿锂'!F47)</f>
        <v>74425.97</v>
      </c>
      <c r="G47" s="21">
        <f>SUM('Y-高新:Y-中天鸿锂'!G47)</f>
        <v>74425.98</v>
      </c>
      <c r="H47" s="21">
        <f>SUM('Y-高新:Y-中天鸿锂'!H47)</f>
        <v>0</v>
      </c>
      <c r="I47" s="21">
        <f>SUM('Y-高新:Y-中天鸿锂'!I47)</f>
        <v>0</v>
      </c>
      <c r="J47" s="21">
        <f>SUM('Y-高新:Y-中天鸿锂'!J47)</f>
        <v>0</v>
      </c>
      <c r="K47" s="21">
        <f>SUM('Y-高新:Y-中天鸿锂'!K47)</f>
        <v>0</v>
      </c>
      <c r="L47" s="21">
        <f>SUM('Y-高新:Y-中天鸿锂'!L47)</f>
        <v>0</v>
      </c>
      <c r="M47" s="21">
        <f>SUM('Y-高新:Y-中天鸿锂'!M47)</f>
        <v>0</v>
      </c>
      <c r="N47" s="21">
        <f>SUM('Y-高新:Y-中天鸿锂'!N47)</f>
        <v>0</v>
      </c>
      <c r="O47" s="21">
        <f>SUM('Y-高新:Y-中天鸿锂'!O47)</f>
        <v>0</v>
      </c>
      <c r="P47" s="47">
        <f t="shared" si="0"/>
        <v>148851.95</v>
      </c>
    </row>
    <row r="48" s="5" customFormat="1" ht="17.25" customHeight="1" spans="1:16">
      <c r="A48" s="31"/>
      <c r="B48" s="19" t="s">
        <v>121</v>
      </c>
      <c r="C48" s="32" t="s">
        <v>121</v>
      </c>
      <c r="D48" s="21">
        <f>SUM('Y-高新:Y-中天鸿锂'!D48)</f>
        <v>77783</v>
      </c>
      <c r="E48" s="21">
        <f>SUM('Y-高新:Y-中天鸿锂'!E48)</f>
        <v>77783</v>
      </c>
      <c r="F48" s="21">
        <f>SUM('Y-高新:Y-中天鸿锂'!F48)</f>
        <v>71495</v>
      </c>
      <c r="G48" s="21">
        <f>SUM('Y-高新:Y-中天鸿锂'!G48)</f>
        <v>74639</v>
      </c>
      <c r="H48" s="21">
        <f>SUM('Y-高新:Y-中天鸿锂'!H48)</f>
        <v>0</v>
      </c>
      <c r="I48" s="21">
        <f>SUM('Y-高新:Y-中天鸿锂'!I48)</f>
        <v>0</v>
      </c>
      <c r="J48" s="21">
        <f>SUM('Y-高新:Y-中天鸿锂'!J48)</f>
        <v>0</v>
      </c>
      <c r="K48" s="21">
        <f>SUM('Y-高新:Y-中天鸿锂'!K48)</f>
        <v>0</v>
      </c>
      <c r="L48" s="21">
        <f>SUM('Y-高新:Y-中天鸿锂'!L48)</f>
        <v>0</v>
      </c>
      <c r="M48" s="21">
        <f>SUM('Y-高新:Y-中天鸿锂'!M48)</f>
        <v>0</v>
      </c>
      <c r="N48" s="21">
        <f>SUM('Y-高新:Y-中天鸿锂'!N48)</f>
        <v>0</v>
      </c>
      <c r="O48" s="21">
        <f>SUM('Y-高新:Y-中天鸿锂'!O48)</f>
        <v>0</v>
      </c>
      <c r="P48" s="47">
        <f t="shared" si="0"/>
        <v>301700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>
        <f>SUM('Y-高新:Y-中天鸿锂'!D49)</f>
        <v>426645.92</v>
      </c>
      <c r="E49" s="21">
        <f>SUM('Y-高新:Y-中天鸿锂'!E49)</f>
        <v>299682.82</v>
      </c>
      <c r="F49" s="21">
        <f>SUM('Y-高新:Y-中天鸿锂'!F49)</f>
        <v>4628675.58</v>
      </c>
      <c r="G49" s="21">
        <f>SUM('Y-高新:Y-中天鸿锂'!G49)</f>
        <v>7705592.32</v>
      </c>
      <c r="H49" s="21">
        <f>SUM('Y-高新:Y-中天鸿锂'!H49)</f>
        <v>0</v>
      </c>
      <c r="I49" s="21">
        <f>SUM('Y-高新:Y-中天鸿锂'!I49)</f>
        <v>0</v>
      </c>
      <c r="J49" s="21">
        <f>SUM('Y-高新:Y-中天鸿锂'!J49)</f>
        <v>0</v>
      </c>
      <c r="K49" s="21">
        <f>SUM('Y-高新:Y-中天鸿锂'!K49)</f>
        <v>0</v>
      </c>
      <c r="L49" s="21">
        <f>SUM('Y-高新:Y-中天鸿锂'!L49)</f>
        <v>0</v>
      </c>
      <c r="M49" s="21">
        <f>SUM('Y-高新:Y-中天鸿锂'!M49)</f>
        <v>0</v>
      </c>
      <c r="N49" s="21">
        <f>SUM('Y-高新:Y-中天鸿锂'!N49)</f>
        <v>0</v>
      </c>
      <c r="O49" s="21">
        <f>SUM('Y-高新:Y-中天鸿锂'!O49)</f>
        <v>0</v>
      </c>
      <c r="P49" s="47">
        <f t="shared" si="0"/>
        <v>13060596.64</v>
      </c>
    </row>
    <row r="50" s="5" customFormat="1" ht="17.25" customHeight="1" spans="1:16">
      <c r="A50" s="36"/>
      <c r="B50" s="38"/>
      <c r="C50" s="33" t="s">
        <v>125</v>
      </c>
      <c r="D50" s="21">
        <f>SUM('Y-高新:Y-中天鸿锂'!D50)</f>
        <v>30072.4</v>
      </c>
      <c r="E50" s="21">
        <f>SUM('Y-高新:Y-中天鸿锂'!E50)</f>
        <v>-29876.4</v>
      </c>
      <c r="F50" s="21">
        <f>SUM('Y-高新:Y-中天鸿锂'!F50)</f>
        <v>0</v>
      </c>
      <c r="G50" s="21">
        <f>SUM('Y-高新:Y-中天鸿锂'!G50)</f>
        <v>13274.34</v>
      </c>
      <c r="H50" s="21">
        <f>SUM('Y-高新:Y-中天鸿锂'!H50)</f>
        <v>0</v>
      </c>
      <c r="I50" s="21">
        <f>SUM('Y-高新:Y-中天鸿锂'!I50)</f>
        <v>0</v>
      </c>
      <c r="J50" s="21">
        <f>SUM('Y-高新:Y-中天鸿锂'!J50)</f>
        <v>0</v>
      </c>
      <c r="K50" s="21">
        <f>SUM('Y-高新:Y-中天鸿锂'!K50)</f>
        <v>0</v>
      </c>
      <c r="L50" s="21">
        <f>SUM('Y-高新:Y-中天鸿锂'!L50)</f>
        <v>0</v>
      </c>
      <c r="M50" s="21">
        <f>SUM('Y-高新:Y-中天鸿锂'!M50)</f>
        <v>0</v>
      </c>
      <c r="N50" s="21">
        <f>SUM('Y-高新:Y-中天鸿锂'!N50)</f>
        <v>0</v>
      </c>
      <c r="O50" s="21">
        <f>SUM('Y-高新:Y-中天鸿锂'!O50)</f>
        <v>0</v>
      </c>
      <c r="P50" s="47">
        <f t="shared" si="0"/>
        <v>13470.34</v>
      </c>
    </row>
    <row r="51" s="5" customFormat="1" ht="17.25" customHeight="1" spans="1:16">
      <c r="A51" s="36"/>
      <c r="B51" s="39"/>
      <c r="C51" s="33" t="s">
        <v>83</v>
      </c>
      <c r="D51" s="21">
        <f>SUM('Y-高新:Y-中天鸿锂'!D51)</f>
        <v>0</v>
      </c>
      <c r="E51" s="21">
        <f>SUM('Y-高新:Y-中天鸿锂'!E51)</f>
        <v>0</v>
      </c>
      <c r="F51" s="21">
        <f>SUM('Y-高新:Y-中天鸿锂'!F51)</f>
        <v>0</v>
      </c>
      <c r="G51" s="21">
        <f>SUM('Y-高新:Y-中天鸿锂'!G51)</f>
        <v>0</v>
      </c>
      <c r="H51" s="21">
        <f>SUM('Y-高新:Y-中天鸿锂'!H51)</f>
        <v>0</v>
      </c>
      <c r="I51" s="21">
        <f>SUM('Y-高新:Y-中天鸿锂'!I51)</f>
        <v>0</v>
      </c>
      <c r="J51" s="21">
        <f>SUM('Y-高新:Y-中天鸿锂'!J51)</f>
        <v>0</v>
      </c>
      <c r="K51" s="21">
        <f>SUM('Y-高新:Y-中天鸿锂'!K51)</f>
        <v>0</v>
      </c>
      <c r="L51" s="21">
        <f>SUM('Y-高新:Y-中天鸿锂'!L51)</f>
        <v>0</v>
      </c>
      <c r="M51" s="21">
        <f>SUM('Y-高新:Y-中天鸿锂'!M51)</f>
        <v>0</v>
      </c>
      <c r="N51" s="21">
        <f>SUM('Y-高新:Y-中天鸿锂'!N51)</f>
        <v>0</v>
      </c>
      <c r="O51" s="21">
        <f>SUM('Y-高新:Y-中天鸿锂'!O51)</f>
        <v>0</v>
      </c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>
        <f>SUM('Y-高新:Y-中天鸿锂'!D52)</f>
        <v>30888.67</v>
      </c>
      <c r="E52" s="21">
        <f>SUM('Y-高新:Y-中天鸿锂'!E52)</f>
        <v>522377.89</v>
      </c>
      <c r="F52" s="21">
        <f>SUM('Y-高新:Y-中天鸿锂'!F52)</f>
        <v>1752005.45</v>
      </c>
      <c r="G52" s="21">
        <f>SUM('Y-高新:Y-中天鸿锂'!G52)</f>
        <v>0</v>
      </c>
      <c r="H52" s="21">
        <f>SUM('Y-高新:Y-中天鸿锂'!H52)</f>
        <v>0</v>
      </c>
      <c r="I52" s="21">
        <f>SUM('Y-高新:Y-中天鸿锂'!I52)</f>
        <v>0</v>
      </c>
      <c r="J52" s="21">
        <f>SUM('Y-高新:Y-中天鸿锂'!J52)</f>
        <v>0</v>
      </c>
      <c r="K52" s="21">
        <f>SUM('Y-高新:Y-中天鸿锂'!K52)</f>
        <v>0</v>
      </c>
      <c r="L52" s="21">
        <f>SUM('Y-高新:Y-中天鸿锂'!L52)</f>
        <v>0</v>
      </c>
      <c r="M52" s="21">
        <f>SUM('Y-高新:Y-中天鸿锂'!M52)</f>
        <v>0</v>
      </c>
      <c r="N52" s="21">
        <f>SUM('Y-高新:Y-中天鸿锂'!N52)</f>
        <v>0</v>
      </c>
      <c r="O52" s="21">
        <f>SUM('Y-高新:Y-中天鸿锂'!O52)</f>
        <v>0</v>
      </c>
      <c r="P52" s="47">
        <f t="shared" si="0"/>
        <v>2305272.01</v>
      </c>
    </row>
    <row r="53" s="5" customFormat="1" ht="17.25" customHeight="1" spans="1:16">
      <c r="A53" s="36"/>
      <c r="B53" s="24"/>
      <c r="C53" s="33" t="s">
        <v>128</v>
      </c>
      <c r="D53" s="21">
        <f>SUM('Y-高新:Y-中天鸿锂'!D53)</f>
        <v>1792.46</v>
      </c>
      <c r="E53" s="21">
        <f>SUM('Y-高新:Y-中天鸿锂'!E53)</f>
        <v>2830.18</v>
      </c>
      <c r="F53" s="21">
        <f>SUM('Y-高新:Y-中天鸿锂'!F53)</f>
        <v>7186.5</v>
      </c>
      <c r="G53" s="21">
        <f>SUM('Y-高新:Y-中天鸿锂'!G53)</f>
        <v>2075.48</v>
      </c>
      <c r="H53" s="21">
        <f>SUM('Y-高新:Y-中天鸿锂'!H53)</f>
        <v>0</v>
      </c>
      <c r="I53" s="21">
        <f>SUM('Y-高新:Y-中天鸿锂'!I53)</f>
        <v>0</v>
      </c>
      <c r="J53" s="21">
        <f>SUM('Y-高新:Y-中天鸿锂'!J53)</f>
        <v>0</v>
      </c>
      <c r="K53" s="21">
        <f>SUM('Y-高新:Y-中天鸿锂'!K53)</f>
        <v>0</v>
      </c>
      <c r="L53" s="21">
        <f>SUM('Y-高新:Y-中天鸿锂'!L53)</f>
        <v>0</v>
      </c>
      <c r="M53" s="21">
        <f>SUM('Y-高新:Y-中天鸿锂'!M53)</f>
        <v>0</v>
      </c>
      <c r="N53" s="21">
        <f>SUM('Y-高新:Y-中天鸿锂'!N53)</f>
        <v>0</v>
      </c>
      <c r="O53" s="21">
        <f>SUM('Y-高新:Y-中天鸿锂'!O53)</f>
        <v>0</v>
      </c>
      <c r="P53" s="47">
        <f t="shared" si="0"/>
        <v>13884.62</v>
      </c>
    </row>
    <row r="54" s="5" customFormat="1" ht="17.25" customHeight="1" spans="1:16">
      <c r="A54" s="36"/>
      <c r="B54" s="23"/>
      <c r="C54" s="33" t="s">
        <v>83</v>
      </c>
      <c r="D54" s="21">
        <f>SUM('Y-高新:Y-中天鸿锂'!D54)</f>
        <v>0</v>
      </c>
      <c r="E54" s="21">
        <f>SUM('Y-高新:Y-中天鸿锂'!E54)</f>
        <v>0</v>
      </c>
      <c r="F54" s="21">
        <f>SUM('Y-高新:Y-中天鸿锂'!F54)</f>
        <v>0</v>
      </c>
      <c r="G54" s="21">
        <f>SUM('Y-高新:Y-中天鸿锂'!G54)</f>
        <v>0</v>
      </c>
      <c r="H54" s="21">
        <f>SUM('Y-高新:Y-中天鸿锂'!H54)</f>
        <v>0</v>
      </c>
      <c r="I54" s="21">
        <f>SUM('Y-高新:Y-中天鸿锂'!I54)</f>
        <v>0</v>
      </c>
      <c r="J54" s="21">
        <f>SUM('Y-高新:Y-中天鸿锂'!J54)</f>
        <v>0</v>
      </c>
      <c r="K54" s="21">
        <f>SUM('Y-高新:Y-中天鸿锂'!K54)</f>
        <v>0</v>
      </c>
      <c r="L54" s="21">
        <f>SUM('Y-高新:Y-中天鸿锂'!L54)</f>
        <v>0</v>
      </c>
      <c r="M54" s="21">
        <f>SUM('Y-高新:Y-中天鸿锂'!M54)</f>
        <v>0</v>
      </c>
      <c r="N54" s="21">
        <f>SUM('Y-高新:Y-中天鸿锂'!N54)</f>
        <v>0</v>
      </c>
      <c r="O54" s="21">
        <f>SUM('Y-高新:Y-中天鸿锂'!O54)</f>
        <v>0</v>
      </c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>
        <f>SUM('Y-高新:Y-中天鸿锂'!D55)</f>
        <v>0</v>
      </c>
      <c r="E55" s="21">
        <f>SUM('Y-高新:Y-中天鸿锂'!E55)</f>
        <v>0</v>
      </c>
      <c r="F55" s="21">
        <f>SUM('Y-高新:Y-中天鸿锂'!F55)</f>
        <v>0</v>
      </c>
      <c r="G55" s="21">
        <f>SUM('Y-高新:Y-中天鸿锂'!G55)</f>
        <v>0</v>
      </c>
      <c r="H55" s="21">
        <f>SUM('Y-高新:Y-中天鸿锂'!H55)</f>
        <v>0</v>
      </c>
      <c r="I55" s="21">
        <f>SUM('Y-高新:Y-中天鸿锂'!I55)</f>
        <v>0</v>
      </c>
      <c r="J55" s="21">
        <f>SUM('Y-高新:Y-中天鸿锂'!J55)</f>
        <v>0</v>
      </c>
      <c r="K55" s="21">
        <f>SUM('Y-高新:Y-中天鸿锂'!K55)</f>
        <v>0</v>
      </c>
      <c r="L55" s="21">
        <f>SUM('Y-高新:Y-中天鸿锂'!L55)</f>
        <v>0</v>
      </c>
      <c r="M55" s="21">
        <f>SUM('Y-高新:Y-中天鸿锂'!M55)</f>
        <v>0</v>
      </c>
      <c r="N55" s="21">
        <f>SUM('Y-高新:Y-中天鸿锂'!N55)</f>
        <v>0</v>
      </c>
      <c r="O55" s="21">
        <f>SUM('Y-高新:Y-中天鸿锂'!O55)</f>
        <v>0</v>
      </c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>
        <f>SUM('Y-高新:Y-中天鸿锂'!D56)</f>
        <v>2905</v>
      </c>
      <c r="E56" s="21">
        <f>SUM('Y-高新:Y-中天鸿锂'!E56)</f>
        <v>23850.76</v>
      </c>
      <c r="F56" s="21">
        <f>SUM('Y-高新:Y-中天鸿锂'!F56)</f>
        <v>41693.96</v>
      </c>
      <c r="G56" s="21">
        <f>SUM('Y-高新:Y-中天鸿锂'!G56)</f>
        <v>74349.51</v>
      </c>
      <c r="H56" s="21">
        <f>SUM('Y-高新:Y-中天鸿锂'!H56)</f>
        <v>0</v>
      </c>
      <c r="I56" s="21">
        <f>SUM('Y-高新:Y-中天鸿锂'!I56)</f>
        <v>0</v>
      </c>
      <c r="J56" s="21">
        <f>SUM('Y-高新:Y-中天鸿锂'!J56)</f>
        <v>0</v>
      </c>
      <c r="K56" s="21">
        <f>SUM('Y-高新:Y-中天鸿锂'!K56)</f>
        <v>0</v>
      </c>
      <c r="L56" s="21">
        <f>SUM('Y-高新:Y-中天鸿锂'!L56)</f>
        <v>0</v>
      </c>
      <c r="M56" s="21">
        <f>SUM('Y-高新:Y-中天鸿锂'!M56)</f>
        <v>0</v>
      </c>
      <c r="N56" s="21">
        <f>SUM('Y-高新:Y-中天鸿锂'!N56)</f>
        <v>0</v>
      </c>
      <c r="O56" s="21">
        <f>SUM('Y-高新:Y-中天鸿锂'!O56)</f>
        <v>0</v>
      </c>
      <c r="P56" s="47">
        <f t="shared" si="0"/>
        <v>142799.23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>
        <f>SUM('Y-高新:Y-中天鸿锂'!D57)</f>
        <v>0</v>
      </c>
      <c r="E57" s="21">
        <f>SUM('Y-高新:Y-中天鸿锂'!E57)</f>
        <v>0</v>
      </c>
      <c r="F57" s="21">
        <f>SUM('Y-高新:Y-中天鸿锂'!F57)</f>
        <v>0</v>
      </c>
      <c r="G57" s="21">
        <f>SUM('Y-高新:Y-中天鸿锂'!G57)</f>
        <v>0</v>
      </c>
      <c r="H57" s="21">
        <f>SUM('Y-高新:Y-中天鸿锂'!H57)</f>
        <v>0</v>
      </c>
      <c r="I57" s="21">
        <f>SUM('Y-高新:Y-中天鸿锂'!I57)</f>
        <v>0</v>
      </c>
      <c r="J57" s="21">
        <f>SUM('Y-高新:Y-中天鸿锂'!J57)</f>
        <v>0</v>
      </c>
      <c r="K57" s="21">
        <f>SUM('Y-高新:Y-中天鸿锂'!K57)</f>
        <v>0</v>
      </c>
      <c r="L57" s="21">
        <f>SUM('Y-高新:Y-中天鸿锂'!L57)</f>
        <v>0</v>
      </c>
      <c r="M57" s="21">
        <f>SUM('Y-高新:Y-中天鸿锂'!M57)</f>
        <v>0</v>
      </c>
      <c r="N57" s="21">
        <f>SUM('Y-高新:Y-中天鸿锂'!N57)</f>
        <v>0</v>
      </c>
      <c r="O57" s="21">
        <f>SUM('Y-高新:Y-中天鸿锂'!O57)</f>
        <v>0</v>
      </c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>
        <f>SUM('Y-高新:Y-中天鸿锂'!D58)</f>
        <v>0</v>
      </c>
      <c r="E58" s="21">
        <f>SUM('Y-高新:Y-中天鸿锂'!E58)</f>
        <v>0</v>
      </c>
      <c r="F58" s="21">
        <f>SUM('Y-高新:Y-中天鸿锂'!F58)</f>
        <v>0</v>
      </c>
      <c r="G58" s="21">
        <f>SUM('Y-高新:Y-中天鸿锂'!G58)</f>
        <v>0</v>
      </c>
      <c r="H58" s="21">
        <f>SUM('Y-高新:Y-中天鸿锂'!H58)</f>
        <v>0</v>
      </c>
      <c r="I58" s="21">
        <f>SUM('Y-高新:Y-中天鸿锂'!I58)</f>
        <v>0</v>
      </c>
      <c r="J58" s="21">
        <f>SUM('Y-高新:Y-中天鸿锂'!J58)</f>
        <v>0</v>
      </c>
      <c r="K58" s="21">
        <f>SUM('Y-高新:Y-中天鸿锂'!K58)</f>
        <v>0</v>
      </c>
      <c r="L58" s="21">
        <f>SUM('Y-高新:Y-中天鸿锂'!L58)</f>
        <v>0</v>
      </c>
      <c r="M58" s="21">
        <f>SUM('Y-高新:Y-中天鸿锂'!M58)</f>
        <v>0</v>
      </c>
      <c r="N58" s="21">
        <f>SUM('Y-高新:Y-中天鸿锂'!N58)</f>
        <v>0</v>
      </c>
      <c r="O58" s="21">
        <f>SUM('Y-高新:Y-中天鸿锂'!O58)</f>
        <v>0</v>
      </c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>
        <f>SUM('Y-高新:Y-中天鸿锂'!D59)</f>
        <v>0</v>
      </c>
      <c r="E59" s="21">
        <f>SUM('Y-高新:Y-中天鸿锂'!E59)</f>
        <v>0</v>
      </c>
      <c r="F59" s="21">
        <f>SUM('Y-高新:Y-中天鸿锂'!F59)</f>
        <v>0</v>
      </c>
      <c r="G59" s="21">
        <f>SUM('Y-高新:Y-中天鸿锂'!G59)</f>
        <v>0</v>
      </c>
      <c r="H59" s="21">
        <f>SUM('Y-高新:Y-中天鸿锂'!H59)</f>
        <v>0</v>
      </c>
      <c r="I59" s="21">
        <f>SUM('Y-高新:Y-中天鸿锂'!I59)</f>
        <v>0</v>
      </c>
      <c r="J59" s="21">
        <f>SUM('Y-高新:Y-中天鸿锂'!J59)</f>
        <v>0</v>
      </c>
      <c r="K59" s="21">
        <f>SUM('Y-高新:Y-中天鸿锂'!K59)</f>
        <v>0</v>
      </c>
      <c r="L59" s="21">
        <f>SUM('Y-高新:Y-中天鸿锂'!L59)</f>
        <v>0</v>
      </c>
      <c r="M59" s="21">
        <f>SUM('Y-高新:Y-中天鸿锂'!M59)</f>
        <v>0</v>
      </c>
      <c r="N59" s="21">
        <f>SUM('Y-高新:Y-中天鸿锂'!N59)</f>
        <v>0</v>
      </c>
      <c r="O59" s="21">
        <f>SUM('Y-高新:Y-中天鸿锂'!O59)</f>
        <v>0</v>
      </c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>
        <f>SUM('Y-高新:Y-中天鸿锂'!D60)</f>
        <v>0</v>
      </c>
      <c r="E60" s="21">
        <f>SUM('Y-高新:Y-中天鸿锂'!E60)</f>
        <v>0</v>
      </c>
      <c r="F60" s="21">
        <f>SUM('Y-高新:Y-中天鸿锂'!F60)</f>
        <v>0</v>
      </c>
      <c r="G60" s="21">
        <f>SUM('Y-高新:Y-中天鸿锂'!G60)</f>
        <v>0</v>
      </c>
      <c r="H60" s="21">
        <f>SUM('Y-高新:Y-中天鸿锂'!H60)</f>
        <v>0</v>
      </c>
      <c r="I60" s="21">
        <f>SUM('Y-高新:Y-中天鸿锂'!I60)</f>
        <v>0</v>
      </c>
      <c r="J60" s="21">
        <f>SUM('Y-高新:Y-中天鸿锂'!J60)</f>
        <v>0</v>
      </c>
      <c r="K60" s="21">
        <f>SUM('Y-高新:Y-中天鸿锂'!K60)</f>
        <v>0</v>
      </c>
      <c r="L60" s="21">
        <f>SUM('Y-高新:Y-中天鸿锂'!L60)</f>
        <v>0</v>
      </c>
      <c r="M60" s="21">
        <f>SUM('Y-高新:Y-中天鸿锂'!M60)</f>
        <v>0</v>
      </c>
      <c r="N60" s="21">
        <f>SUM('Y-高新:Y-中天鸿锂'!N60)</f>
        <v>0</v>
      </c>
      <c r="O60" s="21">
        <f>SUM('Y-高新:Y-中天鸿锂'!O60)</f>
        <v>0</v>
      </c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>
        <f>SUM('Y-高新:Y-中天鸿锂'!D61)</f>
        <v>0</v>
      </c>
      <c r="E61" s="21">
        <f>SUM('Y-高新:Y-中天鸿锂'!E61)</f>
        <v>0</v>
      </c>
      <c r="F61" s="21">
        <f>SUM('Y-高新:Y-中天鸿锂'!F61)</f>
        <v>0</v>
      </c>
      <c r="G61" s="21">
        <f>SUM('Y-高新:Y-中天鸿锂'!G61)</f>
        <v>0</v>
      </c>
      <c r="H61" s="21">
        <f>SUM('Y-高新:Y-中天鸿锂'!H61)</f>
        <v>0</v>
      </c>
      <c r="I61" s="21">
        <f>SUM('Y-高新:Y-中天鸿锂'!I61)</f>
        <v>0</v>
      </c>
      <c r="J61" s="21">
        <f>SUM('Y-高新:Y-中天鸿锂'!J61)</f>
        <v>0</v>
      </c>
      <c r="K61" s="21">
        <f>SUM('Y-高新:Y-中天鸿锂'!K61)</f>
        <v>0</v>
      </c>
      <c r="L61" s="21">
        <f>SUM('Y-高新:Y-中天鸿锂'!L61)</f>
        <v>0</v>
      </c>
      <c r="M61" s="21">
        <f>SUM('Y-高新:Y-中天鸿锂'!M61)</f>
        <v>0</v>
      </c>
      <c r="N61" s="21">
        <f>SUM('Y-高新:Y-中天鸿锂'!N61)</f>
        <v>0</v>
      </c>
      <c r="O61" s="21">
        <f>SUM('Y-高新:Y-中天鸿锂'!O61)</f>
        <v>0</v>
      </c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>
        <f>SUM('Y-高新:Y-中天鸿锂'!D62)</f>
        <v>0</v>
      </c>
      <c r="E62" s="21">
        <f>SUM('Y-高新:Y-中天鸿锂'!E62)</f>
        <v>0</v>
      </c>
      <c r="F62" s="21">
        <f>SUM('Y-高新:Y-中天鸿锂'!F62)</f>
        <v>733</v>
      </c>
      <c r="G62" s="21">
        <f>SUM('Y-高新:Y-中天鸿锂'!G62)</f>
        <v>0</v>
      </c>
      <c r="H62" s="21">
        <f>SUM('Y-高新:Y-中天鸿锂'!H62)</f>
        <v>0</v>
      </c>
      <c r="I62" s="21">
        <f>SUM('Y-高新:Y-中天鸿锂'!I62)</f>
        <v>0</v>
      </c>
      <c r="J62" s="21">
        <f>SUM('Y-高新:Y-中天鸿锂'!J62)</f>
        <v>0</v>
      </c>
      <c r="K62" s="21">
        <f>SUM('Y-高新:Y-中天鸿锂'!K62)</f>
        <v>0</v>
      </c>
      <c r="L62" s="21">
        <f>SUM('Y-高新:Y-中天鸿锂'!L62)</f>
        <v>0</v>
      </c>
      <c r="M62" s="21">
        <f>SUM('Y-高新:Y-中天鸿锂'!M62)</f>
        <v>0</v>
      </c>
      <c r="N62" s="21">
        <f>SUM('Y-高新:Y-中天鸿锂'!N62)</f>
        <v>0</v>
      </c>
      <c r="O62" s="21">
        <f>SUM('Y-高新:Y-中天鸿锂'!O62)</f>
        <v>0</v>
      </c>
      <c r="P62" s="47">
        <f t="shared" si="0"/>
        <v>733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f>SUM('Y-高新:Y-中天鸿锂'!D63)</f>
        <v>0</v>
      </c>
      <c r="E63" s="21">
        <f>SUM('Y-高新:Y-中天鸿锂'!E63)</f>
        <v>0</v>
      </c>
      <c r="F63" s="21">
        <f>SUM('Y-高新:Y-中天鸿锂'!F63)</f>
        <v>94.02</v>
      </c>
      <c r="G63" s="21">
        <f>SUM('Y-高新:Y-中天鸿锂'!G63)</f>
        <v>0</v>
      </c>
      <c r="H63" s="21">
        <f>SUM('Y-高新:Y-中天鸿锂'!H63)</f>
        <v>0</v>
      </c>
      <c r="I63" s="21">
        <f>SUM('Y-高新:Y-中天鸿锂'!I63)</f>
        <v>0</v>
      </c>
      <c r="J63" s="21">
        <f>SUM('Y-高新:Y-中天鸿锂'!J63)</f>
        <v>0</v>
      </c>
      <c r="K63" s="21">
        <f>SUM('Y-高新:Y-中天鸿锂'!K63)</f>
        <v>0</v>
      </c>
      <c r="L63" s="21">
        <f>SUM('Y-高新:Y-中天鸿锂'!L63)</f>
        <v>0</v>
      </c>
      <c r="M63" s="21">
        <f>SUM('Y-高新:Y-中天鸿锂'!M63)</f>
        <v>0</v>
      </c>
      <c r="N63" s="21">
        <f>SUM('Y-高新:Y-中天鸿锂'!N63)</f>
        <v>0</v>
      </c>
      <c r="O63" s="21">
        <f>SUM('Y-高新:Y-中天鸿锂'!O63)</f>
        <v>0</v>
      </c>
      <c r="P63" s="47">
        <f t="shared" si="0"/>
        <v>94.02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f>SUM('Y-高新:Y-中天鸿锂'!D64)</f>
        <v>0</v>
      </c>
      <c r="E64" s="21">
        <f>SUM('Y-高新:Y-中天鸿锂'!E64)</f>
        <v>7.81</v>
      </c>
      <c r="F64" s="21">
        <f>SUM('Y-高新:Y-中天鸿锂'!F64)</f>
        <v>544.73</v>
      </c>
      <c r="G64" s="21">
        <f>SUM('Y-高新:Y-中天鸿锂'!G64)</f>
        <v>61.59</v>
      </c>
      <c r="H64" s="21">
        <f>SUM('Y-高新:Y-中天鸿锂'!H64)</f>
        <v>0</v>
      </c>
      <c r="I64" s="21">
        <f>SUM('Y-高新:Y-中天鸿锂'!I64)</f>
        <v>0</v>
      </c>
      <c r="J64" s="21">
        <f>SUM('Y-高新:Y-中天鸿锂'!J64)</f>
        <v>0</v>
      </c>
      <c r="K64" s="21">
        <f>SUM('Y-高新:Y-中天鸿锂'!K64)</f>
        <v>0</v>
      </c>
      <c r="L64" s="21">
        <f>SUM('Y-高新:Y-中天鸿锂'!L64)</f>
        <v>0</v>
      </c>
      <c r="M64" s="21">
        <f>SUM('Y-高新:Y-中天鸿锂'!M64)</f>
        <v>0</v>
      </c>
      <c r="N64" s="21">
        <f>SUM('Y-高新:Y-中天鸿锂'!N64)</f>
        <v>0</v>
      </c>
      <c r="O64" s="21">
        <f>SUM('Y-高新:Y-中天鸿锂'!O64)</f>
        <v>0</v>
      </c>
      <c r="P64" s="47">
        <f t="shared" si="0"/>
        <v>614.13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f>SUM('Y-高新:Y-中天鸿锂'!D65)</f>
        <v>120454.46</v>
      </c>
      <c r="E65" s="21">
        <f>SUM('Y-高新:Y-中天鸿锂'!E65)</f>
        <v>77149.81</v>
      </c>
      <c r="F65" s="21">
        <f>SUM('Y-高新:Y-中天鸿锂'!F65)</f>
        <v>84041.67</v>
      </c>
      <c r="G65" s="21">
        <f>SUM('Y-高新:Y-中天鸿锂'!G65)</f>
        <v>92567.05</v>
      </c>
      <c r="H65" s="21">
        <f>SUM('Y-高新:Y-中天鸿锂'!H65)</f>
        <v>0</v>
      </c>
      <c r="I65" s="21">
        <f>SUM('Y-高新:Y-中天鸿锂'!I65)</f>
        <v>0</v>
      </c>
      <c r="J65" s="21">
        <f>SUM('Y-高新:Y-中天鸿锂'!J65)</f>
        <v>0</v>
      </c>
      <c r="K65" s="21">
        <f>SUM('Y-高新:Y-中天鸿锂'!K65)</f>
        <v>0</v>
      </c>
      <c r="L65" s="21">
        <f>SUM('Y-高新:Y-中天鸿锂'!L65)</f>
        <v>0</v>
      </c>
      <c r="M65" s="21">
        <f>SUM('Y-高新:Y-中天鸿锂'!M65)</f>
        <v>0</v>
      </c>
      <c r="N65" s="21">
        <f>SUM('Y-高新:Y-中天鸿锂'!N65)</f>
        <v>0</v>
      </c>
      <c r="O65" s="21">
        <f>SUM('Y-高新:Y-中天鸿锂'!O65)</f>
        <v>0</v>
      </c>
      <c r="P65" s="47">
        <f t="shared" si="0"/>
        <v>374212.99</v>
      </c>
    </row>
    <row r="66" s="5" customFormat="1" ht="17.25" customHeight="1" spans="1:16">
      <c r="A66" s="42"/>
      <c r="B66" s="43" t="s">
        <v>142</v>
      </c>
      <c r="C66" s="33" t="s">
        <v>142</v>
      </c>
      <c r="D66" s="21">
        <f>SUM('Y-高新:Y-中天鸿锂'!D66)</f>
        <v>0</v>
      </c>
      <c r="E66" s="21">
        <f>SUM('Y-高新:Y-中天鸿锂'!E66)</f>
        <v>0</v>
      </c>
      <c r="F66" s="21">
        <f>SUM('Y-高新:Y-中天鸿锂'!F66)</f>
        <v>0</v>
      </c>
      <c r="G66" s="21">
        <f>SUM('Y-高新:Y-中天鸿锂'!G66)</f>
        <v>0</v>
      </c>
      <c r="H66" s="21">
        <f>SUM('Y-高新:Y-中天鸿锂'!H66)</f>
        <v>0</v>
      </c>
      <c r="I66" s="21">
        <f>SUM('Y-高新:Y-中天鸿锂'!I66)</f>
        <v>0</v>
      </c>
      <c r="J66" s="21">
        <f>SUM('Y-高新:Y-中天鸿锂'!J66)</f>
        <v>0</v>
      </c>
      <c r="K66" s="21">
        <f>SUM('Y-高新:Y-中天鸿锂'!K66)</f>
        <v>0</v>
      </c>
      <c r="L66" s="21">
        <f>SUM('Y-高新:Y-中天鸿锂'!L66)</f>
        <v>0</v>
      </c>
      <c r="M66" s="21">
        <f>SUM('Y-高新:Y-中天鸿锂'!M66)</f>
        <v>0</v>
      </c>
      <c r="N66" s="21">
        <f>SUM('Y-高新:Y-中天鸿锂'!N66)</f>
        <v>0</v>
      </c>
      <c r="O66" s="21">
        <f>SUM('Y-高新:Y-中天鸿锂'!O66)</f>
        <v>0</v>
      </c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f>SUM('Y-高新:Y-中天鸿锂'!D67)</f>
        <v>9949.27</v>
      </c>
      <c r="E67" s="21">
        <f>SUM('Y-高新:Y-中天鸿锂'!E67)</f>
        <v>5771.62</v>
      </c>
      <c r="F67" s="21">
        <f>SUM('Y-高新:Y-中天鸿锂'!F67)</f>
        <v>11827.89</v>
      </c>
      <c r="G67" s="21">
        <f>SUM('Y-高新:Y-中天鸿锂'!G67)</f>
        <v>13422.48</v>
      </c>
      <c r="H67" s="21">
        <f>SUM('Y-高新:Y-中天鸿锂'!H67)</f>
        <v>0</v>
      </c>
      <c r="I67" s="21">
        <f>SUM('Y-高新:Y-中天鸿锂'!I67)</f>
        <v>0</v>
      </c>
      <c r="J67" s="21">
        <f>SUM('Y-高新:Y-中天鸿锂'!J67)</f>
        <v>0</v>
      </c>
      <c r="K67" s="21">
        <f>SUM('Y-高新:Y-中天鸿锂'!K67)</f>
        <v>0</v>
      </c>
      <c r="L67" s="21">
        <f>SUM('Y-高新:Y-中天鸿锂'!L67)</f>
        <v>0</v>
      </c>
      <c r="M67" s="21">
        <f>SUM('Y-高新:Y-中天鸿锂'!M67)</f>
        <v>0</v>
      </c>
      <c r="N67" s="21">
        <f>SUM('Y-高新:Y-中天鸿锂'!N67)</f>
        <v>0</v>
      </c>
      <c r="O67" s="21">
        <f>SUM('Y-高新:Y-中天鸿锂'!O67)</f>
        <v>0</v>
      </c>
      <c r="P67" s="47">
        <f t="shared" si="0"/>
        <v>40971.26</v>
      </c>
    </row>
    <row r="68" s="5" customFormat="1" ht="17.25" customHeight="1" spans="1:16">
      <c r="A68" s="42"/>
      <c r="B68" s="37" t="s">
        <v>144</v>
      </c>
      <c r="C68" s="33" t="s">
        <v>145</v>
      </c>
      <c r="D68" s="21">
        <f>SUM('Y-高新:Y-中天鸿锂'!D68)</f>
        <v>0</v>
      </c>
      <c r="E68" s="21">
        <f>SUM('Y-高新:Y-中天鸿锂'!E68)</f>
        <v>0</v>
      </c>
      <c r="F68" s="21">
        <f>SUM('Y-高新:Y-中天鸿锂'!F68)</f>
        <v>0</v>
      </c>
      <c r="G68" s="21">
        <f>SUM('Y-高新:Y-中天鸿锂'!G68)</f>
        <v>0</v>
      </c>
      <c r="H68" s="21">
        <f>SUM('Y-高新:Y-中天鸿锂'!H68)</f>
        <v>0</v>
      </c>
      <c r="I68" s="21">
        <f>SUM('Y-高新:Y-中天鸿锂'!I68)</f>
        <v>0</v>
      </c>
      <c r="J68" s="21">
        <f>SUM('Y-高新:Y-中天鸿锂'!J68)</f>
        <v>0</v>
      </c>
      <c r="K68" s="21">
        <f>SUM('Y-高新:Y-中天鸿锂'!K68)</f>
        <v>0</v>
      </c>
      <c r="L68" s="21">
        <f>SUM('Y-高新:Y-中天鸿锂'!L68)</f>
        <v>0</v>
      </c>
      <c r="M68" s="21">
        <f>SUM('Y-高新:Y-中天鸿锂'!M68)</f>
        <v>0</v>
      </c>
      <c r="N68" s="21">
        <f>SUM('Y-高新:Y-中天鸿锂'!N68)</f>
        <v>0</v>
      </c>
      <c r="O68" s="21">
        <f>SUM('Y-高新:Y-中天鸿锂'!O68)</f>
        <v>0</v>
      </c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>
        <f>SUM('Y-高新:Y-中天鸿锂'!D69)</f>
        <v>0</v>
      </c>
      <c r="E69" s="21">
        <f>SUM('Y-高新:Y-中天鸿锂'!E69)</f>
        <v>0</v>
      </c>
      <c r="F69" s="21">
        <f>SUM('Y-高新:Y-中天鸿锂'!F69)</f>
        <v>0</v>
      </c>
      <c r="G69" s="21">
        <f>SUM('Y-高新:Y-中天鸿锂'!G69)</f>
        <v>0</v>
      </c>
      <c r="H69" s="21">
        <f>SUM('Y-高新:Y-中天鸿锂'!H69)</f>
        <v>0</v>
      </c>
      <c r="I69" s="21">
        <f>SUM('Y-高新:Y-中天鸿锂'!I69)</f>
        <v>0</v>
      </c>
      <c r="J69" s="21">
        <f>SUM('Y-高新:Y-中天鸿锂'!J69)</f>
        <v>0</v>
      </c>
      <c r="K69" s="21">
        <f>SUM('Y-高新:Y-中天鸿锂'!K69)</f>
        <v>0</v>
      </c>
      <c r="L69" s="21">
        <f>SUM('Y-高新:Y-中天鸿锂'!L69)</f>
        <v>0</v>
      </c>
      <c r="M69" s="21">
        <f>SUM('Y-高新:Y-中天鸿锂'!M69)</f>
        <v>0</v>
      </c>
      <c r="N69" s="21">
        <f>SUM('Y-高新:Y-中天鸿锂'!N69)</f>
        <v>0</v>
      </c>
      <c r="O69" s="21">
        <f>SUM('Y-高新:Y-中天鸿锂'!O69)</f>
        <v>0</v>
      </c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>
        <f>SUM('Y-高新:Y-中天鸿锂'!D70)</f>
        <v>0</v>
      </c>
      <c r="E70" s="21">
        <f>SUM('Y-高新:Y-中天鸿锂'!E70)</f>
        <v>442.45</v>
      </c>
      <c r="F70" s="21">
        <f>SUM('Y-高新:Y-中天鸿锂'!F70)</f>
        <v>1424.14</v>
      </c>
      <c r="G70" s="21">
        <f>SUM('Y-高新:Y-中天鸿锂'!G70)</f>
        <v>3738.46</v>
      </c>
      <c r="H70" s="21">
        <f>SUM('Y-高新:Y-中天鸿锂'!H70)</f>
        <v>0</v>
      </c>
      <c r="I70" s="21">
        <f>SUM('Y-高新:Y-中天鸿锂'!I70)</f>
        <v>0</v>
      </c>
      <c r="J70" s="21">
        <f>SUM('Y-高新:Y-中天鸿锂'!J70)</f>
        <v>0</v>
      </c>
      <c r="K70" s="21">
        <f>SUM('Y-高新:Y-中天鸿锂'!K70)</f>
        <v>0</v>
      </c>
      <c r="L70" s="21">
        <f>SUM('Y-高新:Y-中天鸿锂'!L70)</f>
        <v>0</v>
      </c>
      <c r="M70" s="21">
        <f>SUM('Y-高新:Y-中天鸿锂'!M70)</f>
        <v>0</v>
      </c>
      <c r="N70" s="21">
        <f>SUM('Y-高新:Y-中天鸿锂'!N70)</f>
        <v>0</v>
      </c>
      <c r="O70" s="21">
        <f>SUM('Y-高新:Y-中天鸿锂'!O70)</f>
        <v>0</v>
      </c>
      <c r="P70" s="47">
        <f t="shared" si="0"/>
        <v>5605.05</v>
      </c>
    </row>
    <row r="71" s="5" customFormat="1" ht="17.25" customHeight="1" spans="1:16">
      <c r="A71" s="42"/>
      <c r="B71" s="40" t="s">
        <v>148</v>
      </c>
      <c r="C71" s="33" t="s">
        <v>148</v>
      </c>
      <c r="D71" s="21">
        <f>SUM('Y-高新:Y-中天鸿锂'!D71)</f>
        <v>0</v>
      </c>
      <c r="E71" s="21">
        <f>SUM('Y-高新:Y-中天鸿锂'!E71)</f>
        <v>0</v>
      </c>
      <c r="F71" s="21">
        <f>SUM('Y-高新:Y-中天鸿锂'!F71)</f>
        <v>0</v>
      </c>
      <c r="G71" s="21">
        <f>SUM('Y-高新:Y-中天鸿锂'!G71)</f>
        <v>0</v>
      </c>
      <c r="H71" s="21">
        <f>SUM('Y-高新:Y-中天鸿锂'!H71)</f>
        <v>0</v>
      </c>
      <c r="I71" s="21">
        <f>SUM('Y-高新:Y-中天鸿锂'!I71)</f>
        <v>0</v>
      </c>
      <c r="J71" s="21">
        <f>SUM('Y-高新:Y-中天鸿锂'!J71)</f>
        <v>0</v>
      </c>
      <c r="K71" s="21">
        <f>SUM('Y-高新:Y-中天鸿锂'!K71)</f>
        <v>0</v>
      </c>
      <c r="L71" s="21">
        <f>SUM('Y-高新:Y-中天鸿锂'!L71)</f>
        <v>0</v>
      </c>
      <c r="M71" s="21">
        <f>SUM('Y-高新:Y-中天鸿锂'!M71)</f>
        <v>0</v>
      </c>
      <c r="N71" s="21">
        <f>SUM('Y-高新:Y-中天鸿锂'!N71)</f>
        <v>0</v>
      </c>
      <c r="O71" s="21">
        <f>SUM('Y-高新:Y-中天鸿锂'!O71)</f>
        <v>0</v>
      </c>
      <c r="P71" s="47">
        <f t="shared" ref="P71:P92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>
        <f>SUM('Y-高新:Y-中天鸿锂'!D72)</f>
        <v>0</v>
      </c>
      <c r="E72" s="21">
        <f>SUM('Y-高新:Y-中天鸿锂'!E72)</f>
        <v>0</v>
      </c>
      <c r="F72" s="21">
        <f>SUM('Y-高新:Y-中天鸿锂'!F72)</f>
        <v>0</v>
      </c>
      <c r="G72" s="21">
        <f>SUM('Y-高新:Y-中天鸿锂'!G72)</f>
        <v>0</v>
      </c>
      <c r="H72" s="21">
        <f>SUM('Y-高新:Y-中天鸿锂'!H72)</f>
        <v>0</v>
      </c>
      <c r="I72" s="21">
        <f>SUM('Y-高新:Y-中天鸿锂'!I72)</f>
        <v>0</v>
      </c>
      <c r="J72" s="21">
        <f>SUM('Y-高新:Y-中天鸿锂'!J72)</f>
        <v>0</v>
      </c>
      <c r="K72" s="21">
        <f>SUM('Y-高新:Y-中天鸿锂'!K72)</f>
        <v>0</v>
      </c>
      <c r="L72" s="21">
        <f>SUM('Y-高新:Y-中天鸿锂'!L72)</f>
        <v>0</v>
      </c>
      <c r="M72" s="21">
        <f>SUM('Y-高新:Y-中天鸿锂'!M72)</f>
        <v>0</v>
      </c>
      <c r="N72" s="21">
        <f>SUM('Y-高新:Y-中天鸿锂'!N72)</f>
        <v>0</v>
      </c>
      <c r="O72" s="21">
        <f>SUM('Y-高新:Y-中天鸿锂'!O72)</f>
        <v>0</v>
      </c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>
        <f>SUM('Y-高新:Y-中天鸿锂'!D73)</f>
        <v>0</v>
      </c>
      <c r="E73" s="21">
        <f>SUM('Y-高新:Y-中天鸿锂'!E73)</f>
        <v>0</v>
      </c>
      <c r="F73" s="21">
        <f>SUM('Y-高新:Y-中天鸿锂'!F73)</f>
        <v>0</v>
      </c>
      <c r="G73" s="21">
        <f>SUM('Y-高新:Y-中天鸿锂'!G73)</f>
        <v>0</v>
      </c>
      <c r="H73" s="21">
        <f>SUM('Y-高新:Y-中天鸿锂'!H73)</f>
        <v>0</v>
      </c>
      <c r="I73" s="21">
        <f>SUM('Y-高新:Y-中天鸿锂'!I73)</f>
        <v>0</v>
      </c>
      <c r="J73" s="21">
        <f>SUM('Y-高新:Y-中天鸿锂'!J73)</f>
        <v>0</v>
      </c>
      <c r="K73" s="21">
        <f>SUM('Y-高新:Y-中天鸿锂'!K73)</f>
        <v>0</v>
      </c>
      <c r="L73" s="21">
        <f>SUM('Y-高新:Y-中天鸿锂'!L73)</f>
        <v>0</v>
      </c>
      <c r="M73" s="21">
        <f>SUM('Y-高新:Y-中天鸿锂'!M73)</f>
        <v>0</v>
      </c>
      <c r="N73" s="21">
        <f>SUM('Y-高新:Y-中天鸿锂'!N73)</f>
        <v>0</v>
      </c>
      <c r="O73" s="21">
        <f>SUM('Y-高新:Y-中天鸿锂'!O73)</f>
        <v>0</v>
      </c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>
        <f>SUM('Y-高新:Y-中天鸿锂'!D74)</f>
        <v>0</v>
      </c>
      <c r="E74" s="21">
        <f>SUM('Y-高新:Y-中天鸿锂'!E74)</f>
        <v>0</v>
      </c>
      <c r="F74" s="21">
        <f>SUM('Y-高新:Y-中天鸿锂'!F74)</f>
        <v>0</v>
      </c>
      <c r="G74" s="21">
        <f>SUM('Y-高新:Y-中天鸿锂'!G74)</f>
        <v>0</v>
      </c>
      <c r="H74" s="21">
        <f>SUM('Y-高新:Y-中天鸿锂'!H74)</f>
        <v>0</v>
      </c>
      <c r="I74" s="21">
        <f>SUM('Y-高新:Y-中天鸿锂'!I74)</f>
        <v>0</v>
      </c>
      <c r="J74" s="21">
        <f>SUM('Y-高新:Y-中天鸿锂'!J74)</f>
        <v>0</v>
      </c>
      <c r="K74" s="21">
        <f>SUM('Y-高新:Y-中天鸿锂'!K74)</f>
        <v>0</v>
      </c>
      <c r="L74" s="21">
        <f>SUM('Y-高新:Y-中天鸿锂'!L74)</f>
        <v>0</v>
      </c>
      <c r="M74" s="21">
        <f>SUM('Y-高新:Y-中天鸿锂'!M74)</f>
        <v>0</v>
      </c>
      <c r="N74" s="21">
        <f>SUM('Y-高新:Y-中天鸿锂'!N74)</f>
        <v>0</v>
      </c>
      <c r="O74" s="21">
        <f>SUM('Y-高新:Y-中天鸿锂'!O74)</f>
        <v>0</v>
      </c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>
        <f>SUM('Y-高新:Y-中天鸿锂'!D75)</f>
        <v>0</v>
      </c>
      <c r="E75" s="21">
        <f>SUM('Y-高新:Y-中天鸿锂'!E75)</f>
        <v>0</v>
      </c>
      <c r="F75" s="21">
        <f>SUM('Y-高新:Y-中天鸿锂'!F75)</f>
        <v>0</v>
      </c>
      <c r="G75" s="21">
        <f>SUM('Y-高新:Y-中天鸿锂'!G75)</f>
        <v>0</v>
      </c>
      <c r="H75" s="21">
        <f>SUM('Y-高新:Y-中天鸿锂'!H75)</f>
        <v>0</v>
      </c>
      <c r="I75" s="21">
        <f>SUM('Y-高新:Y-中天鸿锂'!I75)</f>
        <v>0</v>
      </c>
      <c r="J75" s="21">
        <f>SUM('Y-高新:Y-中天鸿锂'!J75)</f>
        <v>0</v>
      </c>
      <c r="K75" s="21">
        <f>SUM('Y-高新:Y-中天鸿锂'!K75)</f>
        <v>0</v>
      </c>
      <c r="L75" s="21">
        <f>SUM('Y-高新:Y-中天鸿锂'!L75)</f>
        <v>0</v>
      </c>
      <c r="M75" s="21">
        <f>SUM('Y-高新:Y-中天鸿锂'!M75)</f>
        <v>0</v>
      </c>
      <c r="N75" s="21">
        <f>SUM('Y-高新:Y-中天鸿锂'!N75)</f>
        <v>0</v>
      </c>
      <c r="O75" s="21">
        <f>SUM('Y-高新:Y-中天鸿锂'!O75)</f>
        <v>0</v>
      </c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>
        <f>SUM('Y-高新:Y-中天鸿锂'!D76)</f>
        <v>0</v>
      </c>
      <c r="E76" s="21">
        <f>SUM('Y-高新:Y-中天鸿锂'!E76)</f>
        <v>0</v>
      </c>
      <c r="F76" s="21">
        <f>SUM('Y-高新:Y-中天鸿锂'!F76)</f>
        <v>0</v>
      </c>
      <c r="G76" s="21">
        <f>SUM('Y-高新:Y-中天鸿锂'!G76)</f>
        <v>0</v>
      </c>
      <c r="H76" s="21">
        <f>SUM('Y-高新:Y-中天鸿锂'!H76)</f>
        <v>0</v>
      </c>
      <c r="I76" s="21">
        <f>SUM('Y-高新:Y-中天鸿锂'!I76)</f>
        <v>0</v>
      </c>
      <c r="J76" s="21">
        <f>SUM('Y-高新:Y-中天鸿锂'!J76)</f>
        <v>0</v>
      </c>
      <c r="K76" s="21">
        <f>SUM('Y-高新:Y-中天鸿锂'!K76)</f>
        <v>0</v>
      </c>
      <c r="L76" s="21">
        <f>SUM('Y-高新:Y-中天鸿锂'!L76)</f>
        <v>0</v>
      </c>
      <c r="M76" s="21">
        <f>SUM('Y-高新:Y-中天鸿锂'!M76)</f>
        <v>0</v>
      </c>
      <c r="N76" s="21">
        <f>SUM('Y-高新:Y-中天鸿锂'!N76)</f>
        <v>0</v>
      </c>
      <c r="O76" s="21">
        <f>SUM('Y-高新:Y-中天鸿锂'!O76)</f>
        <v>0</v>
      </c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>
        <f>SUM('Y-高新:Y-中天鸿锂'!D77)</f>
        <v>0</v>
      </c>
      <c r="E77" s="21">
        <f>SUM('Y-高新:Y-中天鸿锂'!E77)</f>
        <v>10554.72</v>
      </c>
      <c r="F77" s="21">
        <f>SUM('Y-高新:Y-中天鸿锂'!F77)</f>
        <v>116238.32</v>
      </c>
      <c r="G77" s="21">
        <f>SUM('Y-高新:Y-中天鸿锂'!G77)</f>
        <v>-9680</v>
      </c>
      <c r="H77" s="21">
        <f>SUM('Y-高新:Y-中天鸿锂'!H77)</f>
        <v>0</v>
      </c>
      <c r="I77" s="21">
        <f>SUM('Y-高新:Y-中天鸿锂'!I77)</f>
        <v>0</v>
      </c>
      <c r="J77" s="21">
        <f>SUM('Y-高新:Y-中天鸿锂'!J77)</f>
        <v>0</v>
      </c>
      <c r="K77" s="21">
        <f>SUM('Y-高新:Y-中天鸿锂'!K77)</f>
        <v>0</v>
      </c>
      <c r="L77" s="21">
        <f>SUM('Y-高新:Y-中天鸿锂'!L77)</f>
        <v>0</v>
      </c>
      <c r="M77" s="21">
        <f>SUM('Y-高新:Y-中天鸿锂'!M77)</f>
        <v>0</v>
      </c>
      <c r="N77" s="21">
        <f>SUM('Y-高新:Y-中天鸿锂'!N77)</f>
        <v>0</v>
      </c>
      <c r="O77" s="21">
        <f>SUM('Y-高新:Y-中天鸿锂'!O77)</f>
        <v>0</v>
      </c>
      <c r="P77" s="47">
        <f t="shared" si="1"/>
        <v>117113.04</v>
      </c>
    </row>
    <row r="78" s="5" customFormat="1" ht="17.25" customHeight="1" spans="1:16">
      <c r="A78" s="50"/>
      <c r="B78" s="23"/>
      <c r="C78" s="49" t="s">
        <v>158</v>
      </c>
      <c r="D78" s="21">
        <f>SUM('Y-高新:Y-中天鸿锂'!D78)</f>
        <v>0</v>
      </c>
      <c r="E78" s="21">
        <f>SUM('Y-高新:Y-中天鸿锂'!E78)</f>
        <v>0</v>
      </c>
      <c r="F78" s="21">
        <f>SUM('Y-高新:Y-中天鸿锂'!F78)</f>
        <v>0</v>
      </c>
      <c r="G78" s="21">
        <f>SUM('Y-高新:Y-中天鸿锂'!G78)</f>
        <v>0</v>
      </c>
      <c r="H78" s="21">
        <f>SUM('Y-高新:Y-中天鸿锂'!H78)</f>
        <v>0</v>
      </c>
      <c r="I78" s="21">
        <f>SUM('Y-高新:Y-中天鸿锂'!I78)</f>
        <v>0</v>
      </c>
      <c r="J78" s="21">
        <f>SUM('Y-高新:Y-中天鸿锂'!J78)</f>
        <v>0</v>
      </c>
      <c r="K78" s="21">
        <f>SUM('Y-高新:Y-中天鸿锂'!K78)</f>
        <v>0</v>
      </c>
      <c r="L78" s="21">
        <f>SUM('Y-高新:Y-中天鸿锂'!L78)</f>
        <v>0</v>
      </c>
      <c r="M78" s="21">
        <f>SUM('Y-高新:Y-中天鸿锂'!M78)</f>
        <v>0</v>
      </c>
      <c r="N78" s="21">
        <f>SUM('Y-高新:Y-中天鸿锂'!N78)</f>
        <v>0</v>
      </c>
      <c r="O78" s="21">
        <f>SUM('Y-高新:Y-中天鸿锂'!O78)</f>
        <v>0</v>
      </c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>
        <f>SUM('Y-高新:Y-中天鸿锂'!D79)</f>
        <v>0</v>
      </c>
      <c r="E79" s="21">
        <f>SUM('Y-高新:Y-中天鸿锂'!E79)</f>
        <v>0</v>
      </c>
      <c r="F79" s="21">
        <f>SUM('Y-高新:Y-中天鸿锂'!F79)</f>
        <v>0</v>
      </c>
      <c r="G79" s="21">
        <f>SUM('Y-高新:Y-中天鸿锂'!G79)</f>
        <v>0</v>
      </c>
      <c r="H79" s="21">
        <f>SUM('Y-高新:Y-中天鸿锂'!H79)</f>
        <v>0</v>
      </c>
      <c r="I79" s="21">
        <f>SUM('Y-高新:Y-中天鸿锂'!I79)</f>
        <v>0</v>
      </c>
      <c r="J79" s="21">
        <f>SUM('Y-高新:Y-中天鸿锂'!J79)</f>
        <v>0</v>
      </c>
      <c r="K79" s="21">
        <f>SUM('Y-高新:Y-中天鸿锂'!K79)</f>
        <v>0</v>
      </c>
      <c r="L79" s="21">
        <f>SUM('Y-高新:Y-中天鸿锂'!L79)</f>
        <v>0</v>
      </c>
      <c r="M79" s="21">
        <f>SUM('Y-高新:Y-中天鸿锂'!M79)</f>
        <v>0</v>
      </c>
      <c r="N79" s="21">
        <f>SUM('Y-高新:Y-中天鸿锂'!N79)</f>
        <v>0</v>
      </c>
      <c r="O79" s="21">
        <f>SUM('Y-高新:Y-中天鸿锂'!O79)</f>
        <v>0</v>
      </c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f>SUM('Y-高新:Y-中天鸿锂'!D80)</f>
        <v>733.59</v>
      </c>
      <c r="E80" s="21">
        <f>SUM('Y-高新:Y-中天鸿锂'!E80)</f>
        <v>1828.06</v>
      </c>
      <c r="F80" s="21">
        <f>SUM('Y-高新:Y-中天鸿锂'!F80)</f>
        <v>1757.36</v>
      </c>
      <c r="G80" s="21">
        <f>SUM('Y-高新:Y-中天鸿锂'!G80)</f>
        <v>1292.08</v>
      </c>
      <c r="H80" s="21">
        <f>SUM('Y-高新:Y-中天鸿锂'!H80)</f>
        <v>0</v>
      </c>
      <c r="I80" s="21">
        <f>SUM('Y-高新:Y-中天鸿锂'!I80)</f>
        <v>0</v>
      </c>
      <c r="J80" s="21">
        <f>SUM('Y-高新:Y-中天鸿锂'!J80)</f>
        <v>0</v>
      </c>
      <c r="K80" s="21">
        <f>SUM('Y-高新:Y-中天鸿锂'!K80)</f>
        <v>0</v>
      </c>
      <c r="L80" s="21">
        <f>SUM('Y-高新:Y-中天鸿锂'!L80)</f>
        <v>0</v>
      </c>
      <c r="M80" s="21">
        <f>SUM('Y-高新:Y-中天鸿锂'!M80)</f>
        <v>0</v>
      </c>
      <c r="N80" s="21">
        <f>SUM('Y-高新:Y-中天鸿锂'!N80)</f>
        <v>0</v>
      </c>
      <c r="O80" s="21">
        <f>SUM('Y-高新:Y-中天鸿锂'!O80)</f>
        <v>0</v>
      </c>
      <c r="P80" s="47">
        <f t="shared" si="1"/>
        <v>5611.09</v>
      </c>
    </row>
    <row r="81" s="5" customFormat="1" ht="17.25" customHeight="1" spans="1:16">
      <c r="A81" s="51"/>
      <c r="B81" s="26" t="s">
        <v>162</v>
      </c>
      <c r="C81" s="25" t="s">
        <v>162</v>
      </c>
      <c r="D81" s="21">
        <f>SUM('Y-高新:Y-中天鸿锂'!D81)</f>
        <v>0</v>
      </c>
      <c r="E81" s="21">
        <f>SUM('Y-高新:Y-中天鸿锂'!E81)</f>
        <v>0</v>
      </c>
      <c r="F81" s="21">
        <f>SUM('Y-高新:Y-中天鸿锂'!F81)</f>
        <v>0</v>
      </c>
      <c r="G81" s="21">
        <f>SUM('Y-高新:Y-中天鸿锂'!G81)</f>
        <v>0</v>
      </c>
      <c r="H81" s="21">
        <f>SUM('Y-高新:Y-中天鸿锂'!H81)</f>
        <v>0</v>
      </c>
      <c r="I81" s="21">
        <f>SUM('Y-高新:Y-中天鸿锂'!I81)</f>
        <v>0</v>
      </c>
      <c r="J81" s="21">
        <f>SUM('Y-高新:Y-中天鸿锂'!J81)</f>
        <v>0</v>
      </c>
      <c r="K81" s="21">
        <f>SUM('Y-高新:Y-中天鸿锂'!K81)</f>
        <v>0</v>
      </c>
      <c r="L81" s="21">
        <f>SUM('Y-高新:Y-中天鸿锂'!L81)</f>
        <v>0</v>
      </c>
      <c r="M81" s="21">
        <f>SUM('Y-高新:Y-中天鸿锂'!M81)</f>
        <v>0</v>
      </c>
      <c r="N81" s="21">
        <f>SUM('Y-高新:Y-中天鸿锂'!N81)</f>
        <v>0</v>
      </c>
      <c r="O81" s="21">
        <f>SUM('Y-高新:Y-中天鸿锂'!O81)</f>
        <v>0</v>
      </c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>
        <f>SUM('Y-高新:Y-中天鸿锂'!D82)</f>
        <v>0</v>
      </c>
      <c r="E82" s="21">
        <f>SUM('Y-高新:Y-中天鸿锂'!E82)</f>
        <v>0</v>
      </c>
      <c r="F82" s="21">
        <f>SUM('Y-高新:Y-中天鸿锂'!F82)</f>
        <v>0</v>
      </c>
      <c r="G82" s="21">
        <f>SUM('Y-高新:Y-中天鸿锂'!G82)</f>
        <v>0</v>
      </c>
      <c r="H82" s="21">
        <f>SUM('Y-高新:Y-中天鸿锂'!H82)</f>
        <v>0</v>
      </c>
      <c r="I82" s="21">
        <f>SUM('Y-高新:Y-中天鸿锂'!I82)</f>
        <v>0</v>
      </c>
      <c r="J82" s="21">
        <f>SUM('Y-高新:Y-中天鸿锂'!J82)</f>
        <v>0</v>
      </c>
      <c r="K82" s="21">
        <f>SUM('Y-高新:Y-中天鸿锂'!K82)</f>
        <v>0</v>
      </c>
      <c r="L82" s="21">
        <f>SUM('Y-高新:Y-中天鸿锂'!L82)</f>
        <v>0</v>
      </c>
      <c r="M82" s="21">
        <f>SUM('Y-高新:Y-中天鸿锂'!M82)</f>
        <v>0</v>
      </c>
      <c r="N82" s="21">
        <f>SUM('Y-高新:Y-中天鸿锂'!N82)</f>
        <v>0</v>
      </c>
      <c r="O82" s="21">
        <f>SUM('Y-高新:Y-中天鸿锂'!O82)</f>
        <v>0</v>
      </c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>
        <f>SUM('Y-高新:Y-中天鸿锂'!D83)</f>
        <v>0</v>
      </c>
      <c r="E83" s="21">
        <f>SUM('Y-高新:Y-中天鸿锂'!E83)</f>
        <v>0</v>
      </c>
      <c r="F83" s="21">
        <f>SUM('Y-高新:Y-中天鸿锂'!F83)</f>
        <v>0</v>
      </c>
      <c r="G83" s="21">
        <f>SUM('Y-高新:Y-中天鸿锂'!G83)</f>
        <v>0</v>
      </c>
      <c r="H83" s="21">
        <f>SUM('Y-高新:Y-中天鸿锂'!H83)</f>
        <v>0</v>
      </c>
      <c r="I83" s="21">
        <f>SUM('Y-高新:Y-中天鸿锂'!I83)</f>
        <v>0</v>
      </c>
      <c r="J83" s="21">
        <f>SUM('Y-高新:Y-中天鸿锂'!J83)</f>
        <v>0</v>
      </c>
      <c r="K83" s="21">
        <f>SUM('Y-高新:Y-中天鸿锂'!K83)</f>
        <v>0</v>
      </c>
      <c r="L83" s="21">
        <f>SUM('Y-高新:Y-中天鸿锂'!L83)</f>
        <v>0</v>
      </c>
      <c r="M83" s="21">
        <f>SUM('Y-高新:Y-中天鸿锂'!M83)</f>
        <v>0</v>
      </c>
      <c r="N83" s="21">
        <f>SUM('Y-高新:Y-中天鸿锂'!N83)</f>
        <v>0</v>
      </c>
      <c r="O83" s="21">
        <f>SUM('Y-高新:Y-中天鸿锂'!O83)</f>
        <v>0</v>
      </c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>
        <f>SUM('Y-高新:Y-中天鸿锂'!D84)</f>
        <v>0</v>
      </c>
      <c r="E84" s="21">
        <f>SUM('Y-高新:Y-中天鸿锂'!E84)</f>
        <v>0</v>
      </c>
      <c r="F84" s="21">
        <f>SUM('Y-高新:Y-中天鸿锂'!F84)</f>
        <v>0</v>
      </c>
      <c r="G84" s="21">
        <f>SUM('Y-高新:Y-中天鸿锂'!G84)</f>
        <v>0</v>
      </c>
      <c r="H84" s="21">
        <f>SUM('Y-高新:Y-中天鸿锂'!H84)</f>
        <v>0</v>
      </c>
      <c r="I84" s="21">
        <f>SUM('Y-高新:Y-中天鸿锂'!I84)</f>
        <v>0</v>
      </c>
      <c r="J84" s="21">
        <f>SUM('Y-高新:Y-中天鸿锂'!J84)</f>
        <v>0</v>
      </c>
      <c r="K84" s="21">
        <f>SUM('Y-高新:Y-中天鸿锂'!K84)</f>
        <v>0</v>
      </c>
      <c r="L84" s="21">
        <f>SUM('Y-高新:Y-中天鸿锂'!L84)</f>
        <v>0</v>
      </c>
      <c r="M84" s="21">
        <f>SUM('Y-高新:Y-中天鸿锂'!M84)</f>
        <v>0</v>
      </c>
      <c r="N84" s="21">
        <f>SUM('Y-高新:Y-中天鸿锂'!N84)</f>
        <v>0</v>
      </c>
      <c r="O84" s="21">
        <f>SUM('Y-高新:Y-中天鸿锂'!O84)</f>
        <v>0</v>
      </c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>
        <f>SUM('Y-高新:Y-中天鸿锂'!D85)</f>
        <v>0</v>
      </c>
      <c r="E85" s="21">
        <f>SUM('Y-高新:Y-中天鸿锂'!E85)</f>
        <v>0</v>
      </c>
      <c r="F85" s="21">
        <f>SUM('Y-高新:Y-中天鸿锂'!F85)</f>
        <v>0</v>
      </c>
      <c r="G85" s="21">
        <f>SUM('Y-高新:Y-中天鸿锂'!G85)</f>
        <v>0</v>
      </c>
      <c r="H85" s="21">
        <f>SUM('Y-高新:Y-中天鸿锂'!H85)</f>
        <v>0</v>
      </c>
      <c r="I85" s="21">
        <f>SUM('Y-高新:Y-中天鸿锂'!I85)</f>
        <v>0</v>
      </c>
      <c r="J85" s="21">
        <f>SUM('Y-高新:Y-中天鸿锂'!J85)</f>
        <v>0</v>
      </c>
      <c r="K85" s="21">
        <f>SUM('Y-高新:Y-中天鸿锂'!K85)</f>
        <v>0</v>
      </c>
      <c r="L85" s="21">
        <f>SUM('Y-高新:Y-中天鸿锂'!L85)</f>
        <v>0</v>
      </c>
      <c r="M85" s="21">
        <f>SUM('Y-高新:Y-中天鸿锂'!M85)</f>
        <v>0</v>
      </c>
      <c r="N85" s="21">
        <f>SUM('Y-高新:Y-中天鸿锂'!N85)</f>
        <v>0</v>
      </c>
      <c r="O85" s="21">
        <f>SUM('Y-高新:Y-中天鸿锂'!O85)</f>
        <v>0</v>
      </c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>
        <f>SUM('Y-高新:Y-中天鸿锂'!D86)</f>
        <v>0</v>
      </c>
      <c r="E86" s="21">
        <f>SUM('Y-高新:Y-中天鸿锂'!E86)</f>
        <v>0</v>
      </c>
      <c r="F86" s="21">
        <f>SUM('Y-高新:Y-中天鸿锂'!F86)</f>
        <v>0</v>
      </c>
      <c r="G86" s="21">
        <f>SUM('Y-高新:Y-中天鸿锂'!G86)</f>
        <v>0</v>
      </c>
      <c r="H86" s="21">
        <f>SUM('Y-高新:Y-中天鸿锂'!H86)</f>
        <v>0</v>
      </c>
      <c r="I86" s="21">
        <f>SUM('Y-高新:Y-中天鸿锂'!I86)</f>
        <v>0</v>
      </c>
      <c r="J86" s="21">
        <f>SUM('Y-高新:Y-中天鸿锂'!J86)</f>
        <v>0</v>
      </c>
      <c r="K86" s="21">
        <f>SUM('Y-高新:Y-中天鸿锂'!K86)</f>
        <v>0</v>
      </c>
      <c r="L86" s="21">
        <f>SUM('Y-高新:Y-中天鸿锂'!L86)</f>
        <v>0</v>
      </c>
      <c r="M86" s="21">
        <f>SUM('Y-高新:Y-中天鸿锂'!M86)</f>
        <v>0</v>
      </c>
      <c r="N86" s="21">
        <f>SUM('Y-高新:Y-中天鸿锂'!N86)</f>
        <v>0</v>
      </c>
      <c r="O86" s="21">
        <f>SUM('Y-高新:Y-中天鸿锂'!O86)</f>
        <v>0</v>
      </c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>
        <f>SUM('Y-高新:Y-中天鸿锂'!D87)</f>
        <v>0</v>
      </c>
      <c r="E87" s="21">
        <f>SUM('Y-高新:Y-中天鸿锂'!E87)</f>
        <v>0</v>
      </c>
      <c r="F87" s="21">
        <f>SUM('Y-高新:Y-中天鸿锂'!F87)</f>
        <v>0</v>
      </c>
      <c r="G87" s="21">
        <f>SUM('Y-高新:Y-中天鸿锂'!G87)</f>
        <v>0</v>
      </c>
      <c r="H87" s="21">
        <f>SUM('Y-高新:Y-中天鸿锂'!H87)</f>
        <v>0</v>
      </c>
      <c r="I87" s="21">
        <f>SUM('Y-高新:Y-中天鸿锂'!I87)</f>
        <v>0</v>
      </c>
      <c r="J87" s="21">
        <f>SUM('Y-高新:Y-中天鸿锂'!J87)</f>
        <v>0</v>
      </c>
      <c r="K87" s="21">
        <f>SUM('Y-高新:Y-中天鸿锂'!K87)</f>
        <v>0</v>
      </c>
      <c r="L87" s="21">
        <f>SUM('Y-高新:Y-中天鸿锂'!L87)</f>
        <v>0</v>
      </c>
      <c r="M87" s="21">
        <f>SUM('Y-高新:Y-中天鸿锂'!M87)</f>
        <v>0</v>
      </c>
      <c r="N87" s="21">
        <f>SUM('Y-高新:Y-中天鸿锂'!N87)</f>
        <v>0</v>
      </c>
      <c r="O87" s="21">
        <f>SUM('Y-高新:Y-中天鸿锂'!O87)</f>
        <v>0</v>
      </c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>
        <f>SUM('Y-高新:Y-中天鸿锂'!D88)</f>
        <v>0</v>
      </c>
      <c r="E88" s="21">
        <f>SUM('Y-高新:Y-中天鸿锂'!E88)</f>
        <v>0</v>
      </c>
      <c r="F88" s="21">
        <f>SUM('Y-高新:Y-中天鸿锂'!F88)</f>
        <v>0</v>
      </c>
      <c r="G88" s="21">
        <f>SUM('Y-高新:Y-中天鸿锂'!G88)</f>
        <v>0</v>
      </c>
      <c r="H88" s="21">
        <f>SUM('Y-高新:Y-中天鸿锂'!H88)</f>
        <v>0</v>
      </c>
      <c r="I88" s="21">
        <f>SUM('Y-高新:Y-中天鸿锂'!I88)</f>
        <v>0</v>
      </c>
      <c r="J88" s="21">
        <f>SUM('Y-高新:Y-中天鸿锂'!J88)</f>
        <v>0</v>
      </c>
      <c r="K88" s="21">
        <f>SUM('Y-高新:Y-中天鸿锂'!K88)</f>
        <v>0</v>
      </c>
      <c r="L88" s="21">
        <f>SUM('Y-高新:Y-中天鸿锂'!L88)</f>
        <v>0</v>
      </c>
      <c r="M88" s="21">
        <f>SUM('Y-高新:Y-中天鸿锂'!M88)</f>
        <v>0</v>
      </c>
      <c r="N88" s="21">
        <f>SUM('Y-高新:Y-中天鸿锂'!N88)</f>
        <v>0</v>
      </c>
      <c r="O88" s="21">
        <f>SUM('Y-高新:Y-中天鸿锂'!O88)</f>
        <v>0</v>
      </c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>
        <f>SUM('Y-高新:Y-中天鸿锂'!D89)</f>
        <v>0</v>
      </c>
      <c r="E89" s="21">
        <f>SUM('Y-高新:Y-中天鸿锂'!E89)</f>
        <v>0</v>
      </c>
      <c r="F89" s="21">
        <f>SUM('Y-高新:Y-中天鸿锂'!F89)</f>
        <v>0</v>
      </c>
      <c r="G89" s="21">
        <f>SUM('Y-高新:Y-中天鸿锂'!G89)</f>
        <v>0</v>
      </c>
      <c r="H89" s="21">
        <f>SUM('Y-高新:Y-中天鸿锂'!H89)</f>
        <v>0</v>
      </c>
      <c r="I89" s="21">
        <f>SUM('Y-高新:Y-中天鸿锂'!I89)</f>
        <v>0</v>
      </c>
      <c r="J89" s="21">
        <f>SUM('Y-高新:Y-中天鸿锂'!J89)</f>
        <v>0</v>
      </c>
      <c r="K89" s="21">
        <f>SUM('Y-高新:Y-中天鸿锂'!K89)</f>
        <v>0</v>
      </c>
      <c r="L89" s="21">
        <f>SUM('Y-高新:Y-中天鸿锂'!L89)</f>
        <v>0</v>
      </c>
      <c r="M89" s="21">
        <f>SUM('Y-高新:Y-中天鸿锂'!M89)</f>
        <v>0</v>
      </c>
      <c r="N89" s="21">
        <f>SUM('Y-高新:Y-中天鸿锂'!N89)</f>
        <v>0</v>
      </c>
      <c r="O89" s="21">
        <f>SUM('Y-高新:Y-中天鸿锂'!O89)</f>
        <v>0</v>
      </c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>
        <f>SUM('Y-高新:Y-中天鸿锂'!D90)</f>
        <v>0</v>
      </c>
      <c r="E90" s="21">
        <f>SUM('Y-高新:Y-中天鸿锂'!E90)</f>
        <v>0</v>
      </c>
      <c r="F90" s="21">
        <f>SUM('Y-高新:Y-中天鸿锂'!F90)</f>
        <v>0</v>
      </c>
      <c r="G90" s="21">
        <f>SUM('Y-高新:Y-中天鸿锂'!G90)</f>
        <v>0</v>
      </c>
      <c r="H90" s="21">
        <f>SUM('Y-高新:Y-中天鸿锂'!H90)</f>
        <v>0</v>
      </c>
      <c r="I90" s="21">
        <f>SUM('Y-高新:Y-中天鸿锂'!I90)</f>
        <v>0</v>
      </c>
      <c r="J90" s="21">
        <f>SUM('Y-高新:Y-中天鸿锂'!J90)</f>
        <v>0</v>
      </c>
      <c r="K90" s="21">
        <f>SUM('Y-高新:Y-中天鸿锂'!K90)</f>
        <v>0</v>
      </c>
      <c r="L90" s="21">
        <f>SUM('Y-高新:Y-中天鸿锂'!L90)</f>
        <v>0</v>
      </c>
      <c r="M90" s="21">
        <f>SUM('Y-高新:Y-中天鸿锂'!M90)</f>
        <v>0</v>
      </c>
      <c r="N90" s="21">
        <f>SUM('Y-高新:Y-中天鸿锂'!N90)</f>
        <v>0</v>
      </c>
      <c r="O90" s="21">
        <f>SUM('Y-高新:Y-中天鸿锂'!O90)</f>
        <v>0</v>
      </c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>
        <f>SUM('Y-高新:Y-中天鸿锂'!D91)</f>
        <v>0</v>
      </c>
      <c r="E91" s="21">
        <f>SUM('Y-高新:Y-中天鸿锂'!E91)</f>
        <v>0</v>
      </c>
      <c r="F91" s="21">
        <f>SUM('Y-高新:Y-中天鸿锂'!F91)</f>
        <v>0</v>
      </c>
      <c r="G91" s="21">
        <f>SUM('Y-高新:Y-中天鸿锂'!G91)</f>
        <v>0</v>
      </c>
      <c r="H91" s="21">
        <f>SUM('Y-高新:Y-中天鸿锂'!H91)</f>
        <v>0</v>
      </c>
      <c r="I91" s="21">
        <f>SUM('Y-高新:Y-中天鸿锂'!I91)</f>
        <v>0</v>
      </c>
      <c r="J91" s="21">
        <f>SUM('Y-高新:Y-中天鸿锂'!J91)</f>
        <v>0</v>
      </c>
      <c r="K91" s="21">
        <f>SUM('Y-高新:Y-中天鸿锂'!K91)</f>
        <v>0</v>
      </c>
      <c r="L91" s="21">
        <f>SUM('Y-高新:Y-中天鸿锂'!L91)</f>
        <v>0</v>
      </c>
      <c r="M91" s="21">
        <f>SUM('Y-高新:Y-中天鸿锂'!M91)</f>
        <v>0</v>
      </c>
      <c r="N91" s="21">
        <f>SUM('Y-高新:Y-中天鸿锂'!N91)</f>
        <v>0</v>
      </c>
      <c r="O91" s="21">
        <f>SUM('Y-高新:Y-中天鸿锂'!O91)</f>
        <v>0</v>
      </c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f>SUM('Y-高新:Y-中天鸿锂'!D92)</f>
        <v>27831.3</v>
      </c>
      <c r="E92" s="21">
        <f>SUM('Y-高新:Y-中天鸿锂'!E92)</f>
        <v>27831.31</v>
      </c>
      <c r="F92" s="21">
        <f>SUM('Y-高新:Y-中天鸿锂'!F92)</f>
        <v>27831.3</v>
      </c>
      <c r="G92" s="21">
        <f>SUM('Y-高新:Y-中天鸿锂'!G92)</f>
        <v>27831.32</v>
      </c>
      <c r="H92" s="21">
        <f>SUM('Y-高新:Y-中天鸿锂'!H92)</f>
        <v>0</v>
      </c>
      <c r="I92" s="21">
        <f>SUM('Y-高新:Y-中天鸿锂'!I92)</f>
        <v>0</v>
      </c>
      <c r="J92" s="21">
        <f>SUM('Y-高新:Y-中天鸿锂'!J92)</f>
        <v>0</v>
      </c>
      <c r="K92" s="21">
        <f>SUM('Y-高新:Y-中天鸿锂'!K92)</f>
        <v>0</v>
      </c>
      <c r="L92" s="21">
        <f>SUM('Y-高新:Y-中天鸿锂'!L92)</f>
        <v>0</v>
      </c>
      <c r="M92" s="21">
        <f>SUM('Y-高新:Y-中天鸿锂'!M92)</f>
        <v>0</v>
      </c>
      <c r="N92" s="21">
        <f>SUM('Y-高新:Y-中天鸿锂'!N92)</f>
        <v>0</v>
      </c>
      <c r="O92" s="21">
        <f>SUM('Y-高新:Y-中天鸿锂'!O92)</f>
        <v>0</v>
      </c>
      <c r="P92" s="47">
        <f t="shared" si="1"/>
        <v>111325.23</v>
      </c>
    </row>
    <row r="93" s="6" customFormat="1" ht="24" customHeight="1" spans="1:16">
      <c r="A93" s="57" t="s">
        <v>12</v>
      </c>
      <c r="B93" s="57"/>
      <c r="C93" s="57"/>
      <c r="D93" s="58">
        <f>SUM(D6:D92)</f>
        <v>7943882.11</v>
      </c>
      <c r="E93" s="58">
        <f t="shared" ref="E93:P93" si="2">SUM(E6:E92)</f>
        <v>6252406.15</v>
      </c>
      <c r="F93" s="58">
        <f t="shared" ref="F93:O93" si="3">SUM(F6:F92)</f>
        <v>11576133.49</v>
      </c>
      <c r="G93" s="58">
        <f t="shared" si="3"/>
        <v>14041759.18</v>
      </c>
      <c r="H93" s="58">
        <f t="shared" si="3"/>
        <v>0</v>
      </c>
      <c r="I93" s="58">
        <f t="shared" si="3"/>
        <v>0</v>
      </c>
      <c r="J93" s="58">
        <f t="shared" si="3"/>
        <v>0</v>
      </c>
      <c r="K93" s="58">
        <f t="shared" si="3"/>
        <v>0</v>
      </c>
      <c r="L93" s="58">
        <f t="shared" si="3"/>
        <v>0</v>
      </c>
      <c r="M93" s="58">
        <f t="shared" si="3"/>
        <v>0</v>
      </c>
      <c r="N93" s="58">
        <f t="shared" si="3"/>
        <v>0</v>
      </c>
      <c r="O93" s="58">
        <f t="shared" si="3"/>
        <v>0</v>
      </c>
      <c r="P93" s="58">
        <f t="shared" si="2"/>
        <v>39814180.93</v>
      </c>
    </row>
    <row r="94" s="7" customFormat="1" ht="20.1" customHeight="1" spans="1:16">
      <c r="A94" s="252" t="s">
        <v>244</v>
      </c>
      <c r="B94" s="253"/>
      <c r="C94" s="254"/>
      <c r="D94" s="21">
        <f>SUM('Y-高新:Y-中天鸿锂'!D94)</f>
        <v>1725258.61499999</v>
      </c>
      <c r="E94" s="21">
        <f>SUM('Y-高新:Y-中天鸿锂'!E94)</f>
        <v>1225952.365</v>
      </c>
      <c r="F94" s="21">
        <f>SUM('Y-高新:Y-中天鸿锂'!F94)</f>
        <v>3862470.415</v>
      </c>
      <c r="G94" s="21">
        <f>SUM('Y-高新:Y-中天鸿锂'!G94)</f>
        <v>2460945.75000001</v>
      </c>
      <c r="H94" s="21">
        <f>SUM('Y-高新:Y-中天鸿锂'!H94)</f>
        <v>0</v>
      </c>
      <c r="I94" s="21">
        <f>SUM('Y-高新:Y-中天鸿锂'!I94)</f>
        <v>0</v>
      </c>
      <c r="J94" s="21">
        <f>SUM('Y-高新:Y-中天鸿锂'!J94)</f>
        <v>0</v>
      </c>
      <c r="K94" s="21">
        <f>SUM('Y-高新:Y-中天鸿锂'!K94)</f>
        <v>0</v>
      </c>
      <c r="L94" s="21">
        <f>SUM('Y-高新:Y-中天鸿锂'!L94)</f>
        <v>0</v>
      </c>
      <c r="M94" s="21">
        <f>SUM('Y-高新:Y-中天鸿锂'!M94)</f>
        <v>0</v>
      </c>
      <c r="N94" s="21">
        <f>SUM('Y-高新:Y-中天鸿锂'!N94)</f>
        <v>0</v>
      </c>
      <c r="O94" s="21">
        <f>SUM('Y-高新:Y-中天鸿锂'!O94)</f>
        <v>0</v>
      </c>
      <c r="P94" s="21">
        <f>SUM('Y-高新:Y-天津'!P94)</f>
        <v>9274627.145</v>
      </c>
    </row>
    <row r="95" s="7" customFormat="1" ht="20.1" customHeight="1" spans="1:16">
      <c r="A95" s="252" t="s">
        <v>245</v>
      </c>
      <c r="B95" s="253"/>
      <c r="C95" s="254"/>
      <c r="D95" s="21">
        <f>SUM('Y-高新:Y-中天鸿锂'!D95)</f>
        <v>5125582.105</v>
      </c>
      <c r="E95" s="21">
        <f>SUM('Y-高新:Y-中天鸿锂'!E95)</f>
        <v>4121972.705</v>
      </c>
      <c r="F95" s="21">
        <f>SUM('Y-高新:Y-中天鸿锂'!F95)</f>
        <v>6884858.845</v>
      </c>
      <c r="G95" s="21">
        <f>SUM('Y-高新:Y-中天鸿锂'!G95)</f>
        <v>10454070.16</v>
      </c>
      <c r="H95" s="21">
        <f>SUM('Y-高新:Y-中天鸿锂'!H95)</f>
        <v>0</v>
      </c>
      <c r="I95" s="21">
        <f>SUM('Y-高新:Y-中天鸿锂'!I95)</f>
        <v>0</v>
      </c>
      <c r="J95" s="21">
        <f>SUM('Y-高新:Y-中天鸿锂'!J95)</f>
        <v>0</v>
      </c>
      <c r="K95" s="21">
        <f>SUM('Y-高新:Y-中天鸿锂'!K95)</f>
        <v>0</v>
      </c>
      <c r="L95" s="21">
        <f>SUM('Y-高新:Y-中天鸿锂'!L95)</f>
        <v>0</v>
      </c>
      <c r="M95" s="21">
        <f>SUM('Y-高新:Y-中天鸿锂'!M95)</f>
        <v>0</v>
      </c>
      <c r="N95" s="21">
        <f>SUM('Y-高新:Y-中天鸿锂'!N95)</f>
        <v>0</v>
      </c>
      <c r="O95" s="21">
        <f>SUM('Y-高新:Y-中天鸿锂'!O95)</f>
        <v>0</v>
      </c>
      <c r="P95" s="21">
        <f>SUM('Y-高新:Y-天津'!P95)</f>
        <v>25962625.645</v>
      </c>
    </row>
    <row r="96" s="7" customFormat="1" ht="20.1" customHeight="1" spans="1:16">
      <c r="A96" s="252" t="s">
        <v>179</v>
      </c>
      <c r="B96" s="253"/>
      <c r="C96" s="254"/>
      <c r="D96" s="21">
        <f>SUM('Y-高新:Y-中天鸿锂'!D96)</f>
        <v>1093041.39</v>
      </c>
      <c r="E96" s="21">
        <f>SUM('Y-高新:Y-中天鸿锂'!E96)</f>
        <v>904481.079999998</v>
      </c>
      <c r="F96" s="21">
        <f>SUM('Y-高新:Y-中天鸿锂'!F96)</f>
        <v>828804.230000001</v>
      </c>
      <c r="G96" s="21">
        <f>SUM('Y-高新:Y-中天鸿锂'!G96)</f>
        <v>1126743.27</v>
      </c>
      <c r="H96" s="21">
        <f>SUM('Y-高新:Y-中天鸿锂'!H96)</f>
        <v>0</v>
      </c>
      <c r="I96" s="21">
        <f>SUM('Y-高新:Y-中天鸿锂'!I96)</f>
        <v>0</v>
      </c>
      <c r="J96" s="21">
        <f>SUM('Y-高新:Y-中天鸿锂'!J96)</f>
        <v>0</v>
      </c>
      <c r="K96" s="21">
        <f>SUM('Y-高新:Y-中天鸿锂'!K96)</f>
        <v>0</v>
      </c>
      <c r="L96" s="21">
        <f>SUM('Y-高新:Y-中天鸿锂'!L96)</f>
        <v>0</v>
      </c>
      <c r="M96" s="21">
        <f>SUM('Y-高新:Y-中天鸿锂'!M96)</f>
        <v>0</v>
      </c>
      <c r="N96" s="21">
        <f>SUM('Y-高新:Y-中天鸿锂'!N96)</f>
        <v>0</v>
      </c>
      <c r="O96" s="21">
        <f>SUM('Y-高新:Y-中天鸿锂'!O96)</f>
        <v>0</v>
      </c>
      <c r="P96" s="21">
        <f>SUM('Y-高新:Y-天津'!P96)</f>
        <v>3953069.97</v>
      </c>
    </row>
    <row r="97" s="7" customFormat="1" ht="20.1" customHeight="1" spans="1:16">
      <c r="A97" s="252" t="s">
        <v>180</v>
      </c>
      <c r="B97" s="253"/>
      <c r="C97" s="254"/>
      <c r="D97" s="21">
        <f>SUM('Y-高新:Y-天津'!D97)</f>
        <v>0</v>
      </c>
      <c r="E97" s="21">
        <f>SUM('Y-高新:Y-天津'!E97)</f>
        <v>0</v>
      </c>
      <c r="F97" s="21">
        <f>SUM('Y-高新:Y-天津'!F97)</f>
        <v>0</v>
      </c>
      <c r="G97" s="21">
        <f>SUM('Y-高新:Y-天津'!G97)</f>
        <v>0</v>
      </c>
      <c r="H97" s="21">
        <f>SUM('Y-高新:Y-天津'!H97)</f>
        <v>0</v>
      </c>
      <c r="I97" s="21">
        <f>SUM('Y-高新:Y-天津'!I97)</f>
        <v>0</v>
      </c>
      <c r="J97" s="21">
        <f>SUM('Y-高新:Y-天津'!J97)</f>
        <v>0</v>
      </c>
      <c r="K97" s="21">
        <f>SUM('Y-高新:Y-天津'!K97)</f>
        <v>0</v>
      </c>
      <c r="L97" s="21">
        <f>SUM('Y-高新:Y-天津'!L97)</f>
        <v>0</v>
      </c>
      <c r="M97" s="21">
        <f>SUM('Y-高新:Y-天津'!M97)</f>
        <v>0</v>
      </c>
      <c r="N97" s="21">
        <f>SUM('Y-高新:Y-天津'!N97)</f>
        <v>0</v>
      </c>
      <c r="O97" s="21">
        <f>SUM('Y-高新:Y-天津'!O97)</f>
        <v>0</v>
      </c>
      <c r="P97" s="21">
        <f>SUM('Y-高新:Y-天津'!P97)</f>
        <v>0</v>
      </c>
    </row>
    <row r="98" s="7" customFormat="1" ht="20.1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</row>
    <row r="99" s="7" customFormat="1" ht="20.1" customHeight="1" spans="1:16">
      <c r="A99" s="296" t="s">
        <v>246</v>
      </c>
      <c r="B99" s="297"/>
      <c r="C99" s="298"/>
      <c r="D99" s="21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1"/>
    </row>
    <row r="100" s="7" customFormat="1" ht="20.1" customHeight="1" spans="1:16">
      <c r="A100" s="296" t="s">
        <v>247</v>
      </c>
      <c r="B100" s="297"/>
      <c r="C100" s="298"/>
      <c r="D100" s="21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1"/>
    </row>
    <row r="101" s="7" customFormat="1" ht="20.1" customHeight="1" spans="1:16">
      <c r="A101" s="296" t="s">
        <v>248</v>
      </c>
      <c r="B101" s="297"/>
      <c r="C101" s="298"/>
      <c r="D101" s="21"/>
      <c r="E101" s="293"/>
      <c r="F101" s="293"/>
      <c r="G101" s="293"/>
      <c r="H101" s="293"/>
      <c r="I101" s="293"/>
      <c r="J101" s="293"/>
      <c r="K101" s="293"/>
      <c r="L101" s="293"/>
      <c r="M101" s="293"/>
      <c r="N101" s="293"/>
      <c r="O101" s="293"/>
      <c r="P101" s="21"/>
    </row>
    <row r="102" s="7" customFormat="1" ht="20.1" customHeight="1" spans="1:16">
      <c r="A102" s="296" t="s">
        <v>249</v>
      </c>
      <c r="B102" s="297"/>
      <c r="C102" s="298"/>
      <c r="D102" s="21"/>
      <c r="E102" s="293"/>
      <c r="F102" s="293"/>
      <c r="G102" s="293"/>
      <c r="H102" s="293"/>
      <c r="I102" s="293"/>
      <c r="J102" s="293"/>
      <c r="K102" s="293"/>
      <c r="L102" s="293"/>
      <c r="M102" s="293"/>
      <c r="N102" s="293"/>
      <c r="O102" s="293"/>
      <c r="P102" s="21"/>
    </row>
    <row r="103" s="190" customFormat="1" ht="19.5" customHeight="1" spans="1:8">
      <c r="A103" s="190" t="s">
        <v>181</v>
      </c>
      <c r="D103" s="299">
        <f>D93-D94-D95-D96-D97</f>
        <v>4.88944351673126e-9</v>
      </c>
      <c r="E103" s="299">
        <f>E93-E94-E95-E96-E97</f>
        <v>-5.82076609134674e-10</v>
      </c>
      <c r="G103" s="299"/>
      <c r="H103" s="299"/>
    </row>
    <row r="104" spans="2:16">
      <c r="B104" s="10">
        <v>7938933.79</v>
      </c>
      <c r="D104" s="90" t="str">
        <f>IF(D93=合并管理费用表09!D91,"ok","no")</f>
        <v>ok</v>
      </c>
      <c r="E104" s="90" t="str">
        <f>IF(E93=合并管理费用表09!E91,"ok","no")</f>
        <v>ok</v>
      </c>
      <c r="F104" s="90" t="str">
        <f>IF(F93=合并管理费用表09!F91,"ok","no")</f>
        <v>ok</v>
      </c>
      <c r="G104" s="90" t="str">
        <f>IF(G93=合并管理费用表09!G91,"ok","no")</f>
        <v>ok</v>
      </c>
      <c r="H104" s="90" t="str">
        <f>IF(H93=合并管理费用表09!H91,"ok","no")</f>
        <v>no</v>
      </c>
      <c r="I104" s="90" t="str">
        <f>IF(I93=合并管理费用表09!I91,"ok","no")</f>
        <v>ok</v>
      </c>
      <c r="J104" s="90" t="str">
        <f>IF(J93=合并管理费用表09!J91,"ok","no")</f>
        <v>ok</v>
      </c>
      <c r="K104" s="90" t="str">
        <f>IF(K93=合并管理费用表09!K91,"ok","no")</f>
        <v>ok</v>
      </c>
      <c r="L104" s="90" t="str">
        <f>IF(L93=合并管理费用表09!L91,"ok","no")</f>
        <v>ok</v>
      </c>
      <c r="M104" s="90" t="str">
        <f>IF(M93=合并管理费用表09!M91,"ok","no")</f>
        <v>ok</v>
      </c>
      <c r="N104" s="90" t="str">
        <f>IF(N93=合并管理费用表09!N91,"ok","no")</f>
        <v>ok</v>
      </c>
      <c r="O104" s="90" t="str">
        <f>IF(O93=合并管理费用表09!O91,"ok","no")</f>
        <v>ok</v>
      </c>
      <c r="P104" s="90" t="str">
        <f>IF(P93=合并管理费用表09!P91,"ok","no")</f>
        <v>no</v>
      </c>
    </row>
    <row r="105" spans="2:2">
      <c r="B105" s="68">
        <f>B104-D93</f>
        <v>-4948.31999999937</v>
      </c>
    </row>
    <row r="106" spans="4:16">
      <c r="D106" s="68">
        <f>D93-合并管理费用表09!D91</f>
        <v>0</v>
      </c>
      <c r="E106" s="68">
        <f>E93-合并管理费用表09!E91</f>
        <v>0</v>
      </c>
      <c r="F106" s="68">
        <f>F93-合并管理费用表09!F91</f>
        <v>0</v>
      </c>
      <c r="G106" s="68">
        <f>G93-合并管理费用表09!G91</f>
        <v>0</v>
      </c>
      <c r="H106" s="68">
        <f>H93-合并管理费用表09!H91</f>
        <v>-51.365959</v>
      </c>
      <c r="I106" s="68">
        <f>I93-合并管理费用表09!I91</f>
        <v>0</v>
      </c>
      <c r="J106" s="68">
        <f>J93-合并管理费用表09!J91</f>
        <v>0</v>
      </c>
      <c r="K106" s="68">
        <f>K93-合并管理费用表09!K91</f>
        <v>0</v>
      </c>
      <c r="L106" s="68">
        <f>L93-合并管理费用表09!L91</f>
        <v>0</v>
      </c>
      <c r="M106" s="68">
        <f>M93-合并管理费用表09!M91</f>
        <v>0</v>
      </c>
      <c r="N106" s="68">
        <f>N93-合并管理费用表09!N91</f>
        <v>0</v>
      </c>
      <c r="O106" s="68">
        <f>O93-合并管理费用表09!O91</f>
        <v>0</v>
      </c>
      <c r="P106" s="68">
        <f>P93-合并管理费用表09!P91</f>
        <v>-51.3659589961171</v>
      </c>
    </row>
    <row r="108" spans="3:16">
      <c r="C108" s="104" t="s">
        <v>11</v>
      </c>
      <c r="D108" s="306" t="str">
        <f>D5</f>
        <v>2020年1月</v>
      </c>
      <c r="E108" s="306" t="str">
        <f t="shared" ref="E108:O108" si="4">E5</f>
        <v>2020年2月</v>
      </c>
      <c r="F108" s="306" t="str">
        <f t="shared" si="4"/>
        <v>2020年3月</v>
      </c>
      <c r="G108" s="306" t="str">
        <f t="shared" si="4"/>
        <v>2020年4月</v>
      </c>
      <c r="H108" s="306" t="str">
        <f t="shared" si="4"/>
        <v>2020年5月</v>
      </c>
      <c r="I108" s="306" t="str">
        <f t="shared" si="4"/>
        <v>2020年6月</v>
      </c>
      <c r="J108" s="306" t="str">
        <f t="shared" si="4"/>
        <v>2020年7月</v>
      </c>
      <c r="K108" s="306" t="str">
        <f t="shared" si="4"/>
        <v>2020年8月</v>
      </c>
      <c r="L108" s="306" t="str">
        <f t="shared" si="4"/>
        <v>2020年9月</v>
      </c>
      <c r="M108" s="306" t="str">
        <f t="shared" si="4"/>
        <v>2020年10月</v>
      </c>
      <c r="N108" s="306" t="str">
        <f t="shared" si="4"/>
        <v>2020年11月</v>
      </c>
      <c r="O108" s="306" t="str">
        <f t="shared" si="4"/>
        <v>2020年12月</v>
      </c>
      <c r="P108" s="112" t="s">
        <v>12</v>
      </c>
    </row>
    <row r="109" hidden="1" spans="3:16">
      <c r="C109" s="104"/>
      <c r="D109" s="105" t="s">
        <v>46</v>
      </c>
      <c r="E109" s="105" t="s">
        <v>47</v>
      </c>
      <c r="F109" s="105" t="s">
        <v>48</v>
      </c>
      <c r="G109" s="105" t="s">
        <v>49</v>
      </c>
      <c r="H109" s="105" t="s">
        <v>50</v>
      </c>
      <c r="I109" s="105" t="s">
        <v>51</v>
      </c>
      <c r="J109" s="105" t="s">
        <v>52</v>
      </c>
      <c r="K109" s="105" t="s">
        <v>53</v>
      </c>
      <c r="L109" s="105" t="s">
        <v>54</v>
      </c>
      <c r="M109" s="105" t="s">
        <v>55</v>
      </c>
      <c r="N109" s="105" t="s">
        <v>56</v>
      </c>
      <c r="O109" s="105" t="s">
        <v>57</v>
      </c>
      <c r="P109" s="292"/>
    </row>
    <row r="110" ht="15" spans="3:16">
      <c r="C110" s="106" t="s">
        <v>250</v>
      </c>
      <c r="D110" s="107">
        <f ca="1">IFERROR(INDIRECT("'"&amp;$C110&amp;"'"&amp;"!"&amp;D$109&amp;"93"),"")</f>
        <v>3299715.03</v>
      </c>
      <c r="E110" s="107">
        <f ca="1" t="shared" ref="E110:O110" si="5">IFERROR(INDIRECT("'"&amp;$C110&amp;"'"&amp;"!"&amp;E$109&amp;"93"),"")</f>
        <v>2788447.09</v>
      </c>
      <c r="F110" s="107">
        <f ca="1" t="shared" si="5"/>
        <v>4081798.34</v>
      </c>
      <c r="G110" s="107">
        <f ca="1" t="shared" si="5"/>
        <v>5888887.31</v>
      </c>
      <c r="H110" s="107">
        <f ca="1" t="shared" si="5"/>
        <v>0</v>
      </c>
      <c r="I110" s="107">
        <f ca="1" t="shared" si="5"/>
        <v>0</v>
      </c>
      <c r="J110" s="107">
        <f ca="1" t="shared" si="5"/>
        <v>0</v>
      </c>
      <c r="K110" s="107">
        <f ca="1" t="shared" si="5"/>
        <v>0</v>
      </c>
      <c r="L110" s="107">
        <f ca="1" t="shared" si="5"/>
        <v>0</v>
      </c>
      <c r="M110" s="107">
        <f ca="1" t="shared" si="5"/>
        <v>0</v>
      </c>
      <c r="N110" s="107">
        <f ca="1" t="shared" si="5"/>
        <v>0</v>
      </c>
      <c r="O110" s="107">
        <f ca="1" t="shared" si="5"/>
        <v>0</v>
      </c>
      <c r="P110" s="113">
        <f ca="1" t="shared" ref="P110:P124" si="6">SUM(D110:O110)</f>
        <v>16058847.77</v>
      </c>
    </row>
    <row r="111" ht="15" spans="3:16">
      <c r="C111" s="106" t="s">
        <v>251</v>
      </c>
      <c r="D111" s="107">
        <f ca="1" t="shared" ref="D111:O122" si="7">IFERROR(INDIRECT("'"&amp;$C111&amp;"'"&amp;"!"&amp;D$109&amp;"93"),"")</f>
        <v>-10309.29</v>
      </c>
      <c r="E111" s="107">
        <f ca="1" t="shared" si="7"/>
        <v>0</v>
      </c>
      <c r="F111" s="107">
        <f ca="1" t="shared" si="7"/>
        <v>0</v>
      </c>
      <c r="G111" s="107">
        <f ca="1" t="shared" si="7"/>
        <v>0</v>
      </c>
      <c r="H111" s="107">
        <f ca="1" t="shared" si="7"/>
        <v>0</v>
      </c>
      <c r="I111" s="107">
        <f ca="1" t="shared" si="7"/>
        <v>0</v>
      </c>
      <c r="J111" s="107">
        <f ca="1" t="shared" si="7"/>
        <v>0</v>
      </c>
      <c r="K111" s="107">
        <f ca="1" t="shared" si="7"/>
        <v>0</v>
      </c>
      <c r="L111" s="107">
        <f ca="1" t="shared" si="7"/>
        <v>0</v>
      </c>
      <c r="M111" s="107">
        <f ca="1" t="shared" si="7"/>
        <v>0</v>
      </c>
      <c r="N111" s="107">
        <f ca="1" t="shared" si="7"/>
        <v>0</v>
      </c>
      <c r="O111" s="107">
        <f ca="1" t="shared" si="7"/>
        <v>0</v>
      </c>
      <c r="P111" s="113">
        <f ca="1" t="shared" si="6"/>
        <v>-10309.29</v>
      </c>
    </row>
    <row r="112" ht="15" spans="3:16">
      <c r="C112" s="106" t="s">
        <v>252</v>
      </c>
      <c r="D112" s="107">
        <f ca="1" t="shared" si="7"/>
        <v>0</v>
      </c>
      <c r="E112" s="107">
        <f ca="1" t="shared" si="7"/>
        <v>0</v>
      </c>
      <c r="F112" s="107">
        <f ca="1" t="shared" si="7"/>
        <v>0</v>
      </c>
      <c r="G112" s="107">
        <f ca="1" t="shared" si="7"/>
        <v>0</v>
      </c>
      <c r="H112" s="107">
        <f ca="1" t="shared" si="7"/>
        <v>0</v>
      </c>
      <c r="I112" s="107">
        <f ca="1" t="shared" si="7"/>
        <v>0</v>
      </c>
      <c r="J112" s="107">
        <f ca="1" t="shared" si="7"/>
        <v>0</v>
      </c>
      <c r="K112" s="107">
        <f ca="1" t="shared" si="7"/>
        <v>0</v>
      </c>
      <c r="L112" s="107">
        <f ca="1" t="shared" si="7"/>
        <v>0</v>
      </c>
      <c r="M112" s="107">
        <f ca="1" t="shared" si="7"/>
        <v>0</v>
      </c>
      <c r="N112" s="107">
        <f ca="1" t="shared" si="7"/>
        <v>0</v>
      </c>
      <c r="O112" s="107">
        <f ca="1" t="shared" si="7"/>
        <v>0</v>
      </c>
      <c r="P112" s="113">
        <f ca="1" t="shared" si="6"/>
        <v>0</v>
      </c>
    </row>
    <row r="113" ht="15" spans="3:16">
      <c r="C113" s="106" t="s">
        <v>253</v>
      </c>
      <c r="D113" s="107">
        <f ca="1" t="shared" si="7"/>
        <v>39571.91</v>
      </c>
      <c r="E113" s="107">
        <f ca="1" t="shared" si="7"/>
        <v>80828.45</v>
      </c>
      <c r="F113" s="107">
        <f ca="1" t="shared" si="7"/>
        <v>121936.66</v>
      </c>
      <c r="G113" s="107">
        <f ca="1" t="shared" si="7"/>
        <v>158310.76</v>
      </c>
      <c r="H113" s="107">
        <f ca="1" t="shared" si="7"/>
        <v>0</v>
      </c>
      <c r="I113" s="107">
        <f ca="1" t="shared" si="7"/>
        <v>0</v>
      </c>
      <c r="J113" s="107">
        <f ca="1" t="shared" si="7"/>
        <v>0</v>
      </c>
      <c r="K113" s="107">
        <f ca="1" t="shared" si="7"/>
        <v>0</v>
      </c>
      <c r="L113" s="107">
        <f ca="1" t="shared" si="7"/>
        <v>0</v>
      </c>
      <c r="M113" s="107">
        <f ca="1" t="shared" si="7"/>
        <v>0</v>
      </c>
      <c r="N113" s="107">
        <f ca="1" t="shared" si="7"/>
        <v>0</v>
      </c>
      <c r="O113" s="107">
        <f ca="1" t="shared" si="7"/>
        <v>0</v>
      </c>
      <c r="P113" s="113">
        <f ca="1" t="shared" si="6"/>
        <v>400647.78</v>
      </c>
    </row>
    <row r="114" ht="15" spans="3:16">
      <c r="C114" s="106" t="s">
        <v>254</v>
      </c>
      <c r="D114" s="107">
        <f ca="1" t="shared" si="7"/>
        <v>0</v>
      </c>
      <c r="E114" s="107">
        <f ca="1" t="shared" si="7"/>
        <v>0</v>
      </c>
      <c r="F114" s="107">
        <f ca="1" t="shared" si="7"/>
        <v>0</v>
      </c>
      <c r="G114" s="107">
        <f ca="1" t="shared" si="7"/>
        <v>0</v>
      </c>
      <c r="H114" s="107">
        <f ca="1" t="shared" si="7"/>
        <v>0</v>
      </c>
      <c r="I114" s="107">
        <f ca="1" t="shared" si="7"/>
        <v>0</v>
      </c>
      <c r="J114" s="107">
        <f ca="1" t="shared" si="7"/>
        <v>0</v>
      </c>
      <c r="K114" s="107">
        <f ca="1" t="shared" si="7"/>
        <v>0</v>
      </c>
      <c r="L114" s="107">
        <f ca="1" t="shared" si="7"/>
        <v>0</v>
      </c>
      <c r="M114" s="107">
        <f ca="1" t="shared" si="7"/>
        <v>0</v>
      </c>
      <c r="N114" s="107">
        <f ca="1" t="shared" si="7"/>
        <v>0</v>
      </c>
      <c r="O114" s="107">
        <f ca="1" t="shared" si="7"/>
        <v>0</v>
      </c>
      <c r="P114" s="113">
        <f ca="1" t="shared" si="6"/>
        <v>0</v>
      </c>
    </row>
    <row r="115" ht="15" spans="3:16">
      <c r="C115" s="106" t="s">
        <v>255</v>
      </c>
      <c r="D115" s="107">
        <f ca="1" t="shared" si="7"/>
        <v>0</v>
      </c>
      <c r="E115" s="107">
        <f ca="1" t="shared" si="7"/>
        <v>0</v>
      </c>
      <c r="F115" s="107">
        <f ca="1" t="shared" si="7"/>
        <v>0</v>
      </c>
      <c r="G115" s="107">
        <f ca="1" t="shared" si="7"/>
        <v>0</v>
      </c>
      <c r="H115" s="107">
        <f ca="1" t="shared" si="7"/>
        <v>0</v>
      </c>
      <c r="I115" s="107">
        <f ca="1" t="shared" si="7"/>
        <v>0</v>
      </c>
      <c r="J115" s="107">
        <f ca="1" t="shared" si="7"/>
        <v>0</v>
      </c>
      <c r="K115" s="107">
        <f ca="1" t="shared" si="7"/>
        <v>0</v>
      </c>
      <c r="L115" s="107">
        <f ca="1" t="shared" si="7"/>
        <v>0</v>
      </c>
      <c r="M115" s="107">
        <f ca="1" t="shared" si="7"/>
        <v>0</v>
      </c>
      <c r="N115" s="107">
        <f ca="1" t="shared" si="7"/>
        <v>0</v>
      </c>
      <c r="O115" s="107">
        <f ca="1" t="shared" si="7"/>
        <v>0</v>
      </c>
      <c r="P115" s="113">
        <f ca="1" t="shared" si="6"/>
        <v>0</v>
      </c>
    </row>
    <row r="116" ht="15" spans="3:16">
      <c r="C116" s="106" t="s">
        <v>256</v>
      </c>
      <c r="D116" s="107">
        <f ca="1" t="shared" si="7"/>
        <v>0</v>
      </c>
      <c r="E116" s="107">
        <f ca="1" t="shared" si="7"/>
        <v>0</v>
      </c>
      <c r="F116" s="107">
        <f ca="1" t="shared" si="7"/>
        <v>0</v>
      </c>
      <c r="G116" s="107">
        <f ca="1" t="shared" si="7"/>
        <v>0</v>
      </c>
      <c r="H116" s="107">
        <f ca="1" t="shared" si="7"/>
        <v>0</v>
      </c>
      <c r="I116" s="107">
        <f ca="1" t="shared" si="7"/>
        <v>0</v>
      </c>
      <c r="J116" s="107">
        <f ca="1" t="shared" si="7"/>
        <v>0</v>
      </c>
      <c r="K116" s="107">
        <f ca="1" t="shared" si="7"/>
        <v>0</v>
      </c>
      <c r="L116" s="107">
        <f ca="1" t="shared" si="7"/>
        <v>0</v>
      </c>
      <c r="M116" s="107">
        <f ca="1" t="shared" si="7"/>
        <v>0</v>
      </c>
      <c r="N116" s="107">
        <f ca="1" t="shared" si="7"/>
        <v>0</v>
      </c>
      <c r="O116" s="107">
        <f ca="1" t="shared" si="7"/>
        <v>0</v>
      </c>
      <c r="P116" s="113">
        <f ca="1" t="shared" si="6"/>
        <v>0</v>
      </c>
    </row>
    <row r="117" ht="15" spans="3:16">
      <c r="C117" s="106" t="s">
        <v>257</v>
      </c>
      <c r="D117" s="107">
        <f ca="1" t="shared" si="7"/>
        <v>5066.69</v>
      </c>
      <c r="E117" s="107">
        <f ca="1" t="shared" si="7"/>
        <v>5066.69</v>
      </c>
      <c r="F117" s="107">
        <f ca="1" t="shared" si="7"/>
        <v>0</v>
      </c>
      <c r="G117" s="107">
        <f ca="1" t="shared" si="7"/>
        <v>0</v>
      </c>
      <c r="H117" s="107">
        <f ca="1" t="shared" si="7"/>
        <v>0</v>
      </c>
      <c r="I117" s="107">
        <f ca="1" t="shared" si="7"/>
        <v>0</v>
      </c>
      <c r="J117" s="107">
        <f ca="1" t="shared" si="7"/>
        <v>0</v>
      </c>
      <c r="K117" s="107">
        <f ca="1" t="shared" si="7"/>
        <v>0</v>
      </c>
      <c r="L117" s="107">
        <f ca="1" t="shared" si="7"/>
        <v>0</v>
      </c>
      <c r="M117" s="107">
        <f ca="1" t="shared" si="7"/>
        <v>0</v>
      </c>
      <c r="N117" s="107">
        <f ca="1" t="shared" si="7"/>
        <v>0</v>
      </c>
      <c r="O117" s="107">
        <f ca="1" t="shared" si="7"/>
        <v>0</v>
      </c>
      <c r="P117" s="113">
        <f ca="1" t="shared" si="6"/>
        <v>10133.38</v>
      </c>
    </row>
    <row r="118" ht="15" spans="3:16">
      <c r="C118" s="106" t="s">
        <v>258</v>
      </c>
      <c r="D118" s="107">
        <f ca="1" t="shared" si="7"/>
        <v>4240543.1</v>
      </c>
      <c r="E118" s="107">
        <f ca="1" t="shared" si="7"/>
        <v>3066613.52</v>
      </c>
      <c r="F118" s="107">
        <f ca="1" t="shared" si="7"/>
        <v>7262681.78</v>
      </c>
      <c r="G118" s="107">
        <f ca="1" t="shared" si="7"/>
        <v>7776341.37</v>
      </c>
      <c r="H118" s="107">
        <f ca="1" t="shared" si="7"/>
        <v>0</v>
      </c>
      <c r="I118" s="107">
        <f ca="1" t="shared" si="7"/>
        <v>0</v>
      </c>
      <c r="J118" s="107">
        <f ca="1" t="shared" si="7"/>
        <v>0</v>
      </c>
      <c r="K118" s="107">
        <f ca="1" t="shared" si="7"/>
        <v>0</v>
      </c>
      <c r="L118" s="107">
        <f ca="1" t="shared" si="7"/>
        <v>0</v>
      </c>
      <c r="M118" s="107">
        <f ca="1" t="shared" si="7"/>
        <v>0</v>
      </c>
      <c r="N118" s="107">
        <f ca="1" t="shared" si="7"/>
        <v>0</v>
      </c>
      <c r="O118" s="107">
        <f ca="1" t="shared" si="7"/>
        <v>0</v>
      </c>
      <c r="P118" s="113">
        <f ca="1" t="shared" si="6"/>
        <v>22346179.77</v>
      </c>
    </row>
    <row r="119" ht="15" spans="3:16">
      <c r="C119" s="106" t="s">
        <v>259</v>
      </c>
      <c r="D119" s="107">
        <f ca="1" t="shared" si="7"/>
        <v>0</v>
      </c>
      <c r="E119" s="107">
        <f ca="1" t="shared" si="7"/>
        <v>0</v>
      </c>
      <c r="F119" s="107">
        <f ca="1" t="shared" si="7"/>
        <v>0</v>
      </c>
      <c r="G119" s="107">
        <f ca="1" t="shared" si="7"/>
        <v>0</v>
      </c>
      <c r="H119" s="107">
        <f ca="1" t="shared" si="7"/>
        <v>0</v>
      </c>
      <c r="I119" s="107">
        <f ca="1" t="shared" si="7"/>
        <v>0</v>
      </c>
      <c r="J119" s="107">
        <f ca="1" t="shared" si="7"/>
        <v>0</v>
      </c>
      <c r="K119" s="107">
        <f ca="1" t="shared" si="7"/>
        <v>0</v>
      </c>
      <c r="L119" s="107">
        <f ca="1" t="shared" si="7"/>
        <v>0</v>
      </c>
      <c r="M119" s="107">
        <f ca="1" t="shared" si="7"/>
        <v>0</v>
      </c>
      <c r="N119" s="107">
        <f ca="1" t="shared" si="7"/>
        <v>0</v>
      </c>
      <c r="O119" s="107">
        <f ca="1" t="shared" si="7"/>
        <v>0</v>
      </c>
      <c r="P119" s="113"/>
    </row>
    <row r="120" ht="15" spans="3:16">
      <c r="C120" s="106" t="s">
        <v>260</v>
      </c>
      <c r="D120" s="107">
        <f ca="1" t="shared" si="7"/>
        <v>112922.64</v>
      </c>
      <c r="E120" s="107">
        <f ca="1" t="shared" si="7"/>
        <v>124886.48</v>
      </c>
      <c r="F120" s="107">
        <f ca="1" t="shared" si="7"/>
        <v>39680.19</v>
      </c>
      <c r="G120" s="107">
        <f ca="1" t="shared" si="7"/>
        <v>117467.42</v>
      </c>
      <c r="H120" s="107">
        <f ca="1" t="shared" si="7"/>
        <v>0</v>
      </c>
      <c r="I120" s="107">
        <f ca="1" t="shared" si="7"/>
        <v>0</v>
      </c>
      <c r="J120" s="107">
        <f ca="1" t="shared" si="7"/>
        <v>0</v>
      </c>
      <c r="K120" s="107">
        <f ca="1" t="shared" si="7"/>
        <v>0</v>
      </c>
      <c r="L120" s="107">
        <f ca="1" t="shared" si="7"/>
        <v>0</v>
      </c>
      <c r="M120" s="107">
        <f ca="1" t="shared" si="7"/>
        <v>0</v>
      </c>
      <c r="N120" s="107">
        <f ca="1" t="shared" si="7"/>
        <v>0</v>
      </c>
      <c r="O120" s="107">
        <f ca="1" t="shared" si="7"/>
        <v>0</v>
      </c>
      <c r="P120" s="113">
        <f ca="1" t="shared" si="6"/>
        <v>394956.73</v>
      </c>
    </row>
    <row r="121" ht="15" spans="3:16">
      <c r="C121" s="106" t="s">
        <v>261</v>
      </c>
      <c r="D121" s="107">
        <f ca="1" t="shared" si="7"/>
        <v>150683.91</v>
      </c>
      <c r="E121" s="107">
        <f ca="1" t="shared" si="7"/>
        <v>96426.86</v>
      </c>
      <c r="F121" s="107">
        <f ca="1" t="shared" ref="E121:O122" si="8">IFERROR(INDIRECT("'"&amp;$C121&amp;"'"&amp;"!"&amp;F$109&amp;"93"),"")</f>
        <v>0</v>
      </c>
      <c r="G121" s="107">
        <f ca="1" t="shared" si="8"/>
        <v>0</v>
      </c>
      <c r="H121" s="107">
        <f ca="1" t="shared" si="8"/>
        <v>0</v>
      </c>
      <c r="I121" s="107">
        <f ca="1" t="shared" si="8"/>
        <v>0</v>
      </c>
      <c r="J121" s="107">
        <f ca="1" t="shared" si="8"/>
        <v>0</v>
      </c>
      <c r="K121" s="107">
        <f ca="1" t="shared" si="8"/>
        <v>0</v>
      </c>
      <c r="L121" s="107">
        <f ca="1" t="shared" si="8"/>
        <v>0</v>
      </c>
      <c r="M121" s="107">
        <f ca="1" t="shared" si="8"/>
        <v>0</v>
      </c>
      <c r="N121" s="107">
        <f ca="1" t="shared" si="8"/>
        <v>0</v>
      </c>
      <c r="O121" s="107">
        <f ca="1" t="shared" si="8"/>
        <v>0</v>
      </c>
      <c r="P121" s="113">
        <f ca="1" t="shared" si="6"/>
        <v>247110.77</v>
      </c>
    </row>
    <row r="122" ht="15" spans="3:16">
      <c r="C122" s="106" t="s">
        <v>262</v>
      </c>
      <c r="D122" s="107">
        <f ca="1" t="shared" si="7"/>
        <v>105688.12</v>
      </c>
      <c r="E122" s="107">
        <f ca="1" t="shared" si="8"/>
        <v>90137.06</v>
      </c>
      <c r="F122" s="107">
        <f ca="1" t="shared" si="8"/>
        <v>70036.52</v>
      </c>
      <c r="G122" s="107">
        <f ca="1" t="shared" si="8"/>
        <v>100752.32</v>
      </c>
      <c r="H122" s="107">
        <f ca="1" t="shared" si="8"/>
        <v>0</v>
      </c>
      <c r="I122" s="107">
        <f ca="1" t="shared" si="8"/>
        <v>0</v>
      </c>
      <c r="J122" s="107">
        <f ca="1" t="shared" si="8"/>
        <v>0</v>
      </c>
      <c r="K122" s="107">
        <f ca="1" t="shared" si="8"/>
        <v>0</v>
      </c>
      <c r="L122" s="107">
        <f ca="1" t="shared" si="8"/>
        <v>0</v>
      </c>
      <c r="M122" s="107">
        <f ca="1" t="shared" si="8"/>
        <v>0</v>
      </c>
      <c r="N122" s="107">
        <f ca="1" t="shared" si="8"/>
        <v>0</v>
      </c>
      <c r="O122" s="107">
        <f ca="1" t="shared" si="8"/>
        <v>0</v>
      </c>
      <c r="P122" s="113">
        <f ca="1" t="shared" si="6"/>
        <v>366614.02</v>
      </c>
    </row>
    <row r="123" ht="15" spans="3:16">
      <c r="C123" s="106" t="s">
        <v>12</v>
      </c>
      <c r="D123" s="107">
        <f ca="1">SUM(D110:D122)</f>
        <v>7943882.11</v>
      </c>
      <c r="E123" s="107">
        <f ca="1" t="shared" ref="E123:O123" si="9">SUM(E110:E122)</f>
        <v>6252406.15</v>
      </c>
      <c r="F123" s="107">
        <f ca="1" t="shared" si="9"/>
        <v>11576133.49</v>
      </c>
      <c r="G123" s="107">
        <f ca="1" t="shared" si="9"/>
        <v>14041759.18</v>
      </c>
      <c r="H123" s="107">
        <f ca="1" t="shared" si="9"/>
        <v>0</v>
      </c>
      <c r="I123" s="107">
        <f ca="1" t="shared" si="9"/>
        <v>0</v>
      </c>
      <c r="J123" s="107">
        <f ca="1" t="shared" si="9"/>
        <v>0</v>
      </c>
      <c r="K123" s="107">
        <f ca="1" t="shared" si="9"/>
        <v>0</v>
      </c>
      <c r="L123" s="107">
        <f ca="1" t="shared" si="9"/>
        <v>0</v>
      </c>
      <c r="M123" s="107">
        <f ca="1" t="shared" si="9"/>
        <v>0</v>
      </c>
      <c r="N123" s="107">
        <f ca="1" t="shared" si="9"/>
        <v>0</v>
      </c>
      <c r="O123" s="107">
        <f ca="1" t="shared" si="9"/>
        <v>0</v>
      </c>
      <c r="P123" s="113">
        <f ca="1" t="shared" si="6"/>
        <v>39814180.93</v>
      </c>
    </row>
    <row r="124" spans="3:16">
      <c r="C124" s="106" t="s">
        <v>13</v>
      </c>
      <c r="D124" s="21">
        <f ca="1">SUM('Y-高新:Y-中天鸿锂'!D93)-D123</f>
        <v>0</v>
      </c>
      <c r="E124" s="21">
        <f ca="1">SUM('Y-高新:Y-中天鸿锂'!E93)-E123</f>
        <v>0</v>
      </c>
      <c r="F124" s="21">
        <f ca="1">SUM('Y-高新:Y-中天鸿锂'!F93)-F123</f>
        <v>0</v>
      </c>
      <c r="G124" s="21">
        <f ca="1">SUM('Y-高新:Y-中天鸿锂'!G93)-G123</f>
        <v>0</v>
      </c>
      <c r="H124" s="21">
        <f ca="1">SUM('Y-高新:Y-中天鸿锂'!H93)-H123</f>
        <v>0</v>
      </c>
      <c r="I124" s="21">
        <f ca="1">SUM('Y-高新:Y-中天鸿锂'!I93)-I123</f>
        <v>0</v>
      </c>
      <c r="J124" s="21">
        <f ca="1">SUM('Y-高新:Y-中天鸿锂'!J93)-J123</f>
        <v>0</v>
      </c>
      <c r="K124" s="21">
        <f ca="1">SUM('Y-高新:Y-中天鸿锂'!K93)-K123</f>
        <v>0</v>
      </c>
      <c r="L124" s="21">
        <f ca="1">SUM('Y-高新:Y-中天鸿锂'!L93)-L123</f>
        <v>0</v>
      </c>
      <c r="M124" s="21">
        <f ca="1">SUM('Y-高新:Y-中天鸿锂'!M93)-M123</f>
        <v>0</v>
      </c>
      <c r="N124" s="21">
        <f ca="1">SUM('Y-高新:Y-中天鸿锂'!N93)-N123</f>
        <v>0</v>
      </c>
      <c r="O124" s="21">
        <f ca="1">SUM('Y-高新:Y-中天鸿锂'!O93)-O123</f>
        <v>0</v>
      </c>
      <c r="P124" s="113">
        <f ca="1" t="shared" si="6"/>
        <v>0</v>
      </c>
    </row>
    <row r="125" spans="4:16"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</row>
  </sheetData>
  <autoFilter ref="A5:Q97">
    <extLst/>
  </autoFilter>
  <mergeCells count="40">
    <mergeCell ref="A1:D1"/>
    <mergeCell ref="D4:O4"/>
    <mergeCell ref="A93:C93"/>
    <mergeCell ref="A94:C94"/>
    <mergeCell ref="A95:C95"/>
    <mergeCell ref="A96:C96"/>
    <mergeCell ref="A97:C97"/>
    <mergeCell ref="A99:C99"/>
    <mergeCell ref="A100:C100"/>
    <mergeCell ref="A101:C101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5" right="0.75" top="1" bottom="1" header="0.5" footer="0.5"/>
  <pageSetup paperSize="9" orientation="portrait"/>
  <headerFooter alignWithMargins="0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R104"/>
  <sheetViews>
    <sheetView workbookViewId="0">
      <pane xSplit="3" ySplit="5" topLeftCell="D72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5" width="11.5" style="10" customWidth="1"/>
    <col min="6" max="6" width="12.875" style="10" customWidth="1"/>
    <col min="7" max="7" width="13.87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18" width="19.5" style="10" customWidth="1"/>
    <col min="19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263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8">
      <c r="A6" s="18" t="s">
        <v>69</v>
      </c>
      <c r="B6" s="19" t="s">
        <v>70</v>
      </c>
      <c r="C6" s="20" t="s">
        <v>70</v>
      </c>
      <c r="D6" s="21">
        <f>1090717.35+21000</f>
        <v>1111717.35</v>
      </c>
      <c r="E6" s="21">
        <f>1196661.76+23100</f>
        <v>1219761.76</v>
      </c>
      <c r="F6" s="21">
        <f>1224727.83+18900</f>
        <v>1243627.83</v>
      </c>
      <c r="G6" s="21">
        <v>1598649.38</v>
      </c>
      <c r="H6" s="21"/>
      <c r="I6" s="46"/>
      <c r="J6" s="21"/>
      <c r="K6" s="21"/>
      <c r="L6" s="21"/>
      <c r="M6" s="21"/>
      <c r="N6" s="21"/>
      <c r="O6" s="21"/>
      <c r="P6" s="47">
        <f>SUM(D6:O6)</f>
        <v>5173756.32</v>
      </c>
      <c r="Q6" s="48"/>
      <c r="R6" s="48"/>
    </row>
    <row r="7" s="5" customFormat="1" spans="1:18">
      <c r="A7" s="22"/>
      <c r="B7" s="23"/>
      <c r="C7" s="20" t="s">
        <v>71</v>
      </c>
      <c r="D7" s="21">
        <v>1312117.16</v>
      </c>
      <c r="E7" s="21">
        <v>291949.33</v>
      </c>
      <c r="F7" s="21">
        <v>287874</v>
      </c>
      <c r="G7" s="21">
        <v>1107709.53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2999650.02</v>
      </c>
      <c r="R7" s="48"/>
    </row>
    <row r="8" s="5" customFormat="1" spans="1:18">
      <c r="A8" s="22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10000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10000</v>
      </c>
      <c r="R8" s="48"/>
    </row>
    <row r="9" s="5" customFormat="1" spans="1:18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  <c r="R9" s="48"/>
    </row>
    <row r="10" s="5" customFormat="1" spans="1:18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  <c r="R10" s="48"/>
    </row>
    <row r="11" s="5" customFormat="1" spans="1:18">
      <c r="A11" s="22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  <c r="R11" s="48"/>
    </row>
    <row r="12" s="5" customFormat="1" spans="1:18">
      <c r="A12" s="22"/>
      <c r="B12" s="24"/>
      <c r="C12" s="20" t="s">
        <v>77</v>
      </c>
      <c r="D12" s="21"/>
      <c r="E12" s="21">
        <v>0</v>
      </c>
      <c r="F12" s="21">
        <v>18100.02</v>
      </c>
      <c r="G12" s="21">
        <v>20270.0600000001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38370.08</v>
      </c>
      <c r="R12" s="48"/>
    </row>
    <row r="13" s="5" customFormat="1" spans="1:18">
      <c r="A13" s="22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  <c r="R13" s="48"/>
    </row>
    <row r="14" s="5" customFormat="1" spans="1:18">
      <c r="A14" s="22"/>
      <c r="B14" s="24"/>
      <c r="C14" s="20" t="s">
        <v>79</v>
      </c>
      <c r="D14" s="21"/>
      <c r="E14" s="21">
        <v>900</v>
      </c>
      <c r="F14" s="21">
        <v>700</v>
      </c>
      <c r="G14" s="21">
        <v>300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1900</v>
      </c>
      <c r="R14" s="48"/>
    </row>
    <row r="15" s="5" customFormat="1" spans="1:18">
      <c r="A15" s="22"/>
      <c r="B15" s="24"/>
      <c r="C15" s="25" t="s">
        <v>80</v>
      </c>
      <c r="D15" s="21"/>
      <c r="E15" s="21">
        <v>0</v>
      </c>
      <c r="F15" s="21"/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  <c r="R15" s="48"/>
    </row>
    <row r="16" s="5" customFormat="1" spans="1:18">
      <c r="A16" s="22"/>
      <c r="B16" s="24"/>
      <c r="C16" s="25" t="s">
        <v>81</v>
      </c>
      <c r="D16" s="21"/>
      <c r="E16" s="21"/>
      <c r="F16" s="21"/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  <c r="R16" s="48"/>
    </row>
    <row r="17" s="5" customFormat="1" spans="1:18">
      <c r="A17" s="22"/>
      <c r="B17" s="24"/>
      <c r="C17" s="25" t="s">
        <v>82</v>
      </c>
      <c r="D17" s="21"/>
      <c r="E17" s="21">
        <v>0</v>
      </c>
      <c r="F17" s="21"/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  <c r="R17" s="48"/>
    </row>
    <row r="18" s="5" customFormat="1" spans="1:18">
      <c r="A18" s="22"/>
      <c r="B18" s="23"/>
      <c r="C18" s="92" t="s">
        <v>212</v>
      </c>
      <c r="D18" s="21"/>
      <c r="E18" s="21">
        <v>0</v>
      </c>
      <c r="F18" s="21"/>
      <c r="G18" s="21">
        <v>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  <c r="R18" s="48"/>
    </row>
    <row r="19" s="5" customFormat="1" spans="1:18">
      <c r="A19" s="22"/>
      <c r="B19" s="26" t="s">
        <v>84</v>
      </c>
      <c r="C19" s="25" t="s">
        <v>84</v>
      </c>
      <c r="D19" s="21">
        <v>52899.9999999999</v>
      </c>
      <c r="E19" s="21">
        <v>53416</v>
      </c>
      <c r="F19" s="21">
        <v>54963.9999999999</v>
      </c>
      <c r="G19" s="21">
        <v>59280.98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220560.98</v>
      </c>
      <c r="R19" s="48"/>
    </row>
    <row r="20" s="5" customFormat="1" spans="1:18">
      <c r="A20" s="22"/>
      <c r="B20" s="19" t="s">
        <v>85</v>
      </c>
      <c r="C20" s="20" t="s">
        <v>85</v>
      </c>
      <c r="D20" s="21">
        <v>0</v>
      </c>
      <c r="E20" s="21">
        <v>0</v>
      </c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  <c r="R20" s="48"/>
    </row>
    <row r="21" s="5" customFormat="1" spans="1:18">
      <c r="A21" s="22"/>
      <c r="B21" s="19" t="s">
        <v>86</v>
      </c>
      <c r="C21" s="20" t="s">
        <v>86</v>
      </c>
      <c r="D21" s="21">
        <v>0</v>
      </c>
      <c r="E21" s="21">
        <v>17239.81</v>
      </c>
      <c r="F21" s="21">
        <v>0</v>
      </c>
      <c r="G21" s="21">
        <v>1180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18419.81</v>
      </c>
      <c r="R21" s="48"/>
    </row>
    <row r="22" s="5" customFormat="1" spans="1:18">
      <c r="A22" s="22"/>
      <c r="B22" s="19" t="s">
        <v>87</v>
      </c>
      <c r="C22" s="25" t="s">
        <v>88</v>
      </c>
      <c r="D22" s="21">
        <v>74129.93</v>
      </c>
      <c r="E22" s="21">
        <v>73918.1399999999</v>
      </c>
      <c r="F22" s="21">
        <v>-71762.9799999999</v>
      </c>
      <c r="G22" s="21">
        <v>2341.06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78626.15</v>
      </c>
      <c r="R22" s="48"/>
    </row>
    <row r="23" s="5" customFormat="1" spans="1:18">
      <c r="A23" s="22"/>
      <c r="B23" s="24"/>
      <c r="C23" s="25" t="s">
        <v>89</v>
      </c>
      <c r="D23" s="21">
        <v>1453.14</v>
      </c>
      <c r="E23" s="21">
        <v>1442.81</v>
      </c>
      <c r="F23" s="21">
        <v>-1375.45</v>
      </c>
      <c r="G23" s="21">
        <v>37.13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1557.63</v>
      </c>
      <c r="R23" s="48"/>
    </row>
    <row r="24" s="5" customFormat="1" spans="1:18">
      <c r="A24" s="22"/>
      <c r="B24" s="24"/>
      <c r="C24" s="25" t="s">
        <v>90</v>
      </c>
      <c r="D24" s="21">
        <v>2179.86</v>
      </c>
      <c r="E24" s="21">
        <v>2164.74</v>
      </c>
      <c r="F24" s="21">
        <v>-2110.86</v>
      </c>
      <c r="G24" s="21">
        <v>55.72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2289.46</v>
      </c>
      <c r="R24" s="48"/>
    </row>
    <row r="25" s="5" customFormat="1" spans="1:18">
      <c r="A25" s="22"/>
      <c r="B25" s="24"/>
      <c r="C25" s="25" t="s">
        <v>91</v>
      </c>
      <c r="D25" s="21">
        <v>44301.88</v>
      </c>
      <c r="E25" s="21">
        <v>44301.9199999999</v>
      </c>
      <c r="F25" s="21">
        <v>18504.29</v>
      </c>
      <c r="G25" s="21">
        <v>36383.28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143491.37</v>
      </c>
      <c r="R25" s="48"/>
    </row>
    <row r="26" s="5" customFormat="1" spans="1:18">
      <c r="A26" s="22"/>
      <c r="B26" s="23"/>
      <c r="C26" s="25" t="s">
        <v>92</v>
      </c>
      <c r="D26" s="21">
        <v>5784.75</v>
      </c>
      <c r="E26" s="21">
        <v>5784.85</v>
      </c>
      <c r="F26" s="21">
        <v>5859.24999999999</v>
      </c>
      <c r="G26" s="21">
        <v>6640.28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24069.13</v>
      </c>
      <c r="R26" s="48"/>
    </row>
    <row r="27" s="5" customFormat="1" spans="1:18">
      <c r="A27" s="22"/>
      <c r="B27" s="19" t="s">
        <v>93</v>
      </c>
      <c r="C27" s="20" t="s">
        <v>93</v>
      </c>
      <c r="D27" s="21">
        <v>0</v>
      </c>
      <c r="E27" s="21">
        <v>0</v>
      </c>
      <c r="F27" s="21"/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  <c r="R27" s="48"/>
    </row>
    <row r="28" s="5" customFormat="1" spans="1:18">
      <c r="A28" s="27" t="s">
        <v>94</v>
      </c>
      <c r="B28" s="19" t="s">
        <v>95</v>
      </c>
      <c r="C28" s="25" t="s">
        <v>96</v>
      </c>
      <c r="D28" s="21">
        <v>0</v>
      </c>
      <c r="E28" s="21">
        <v>342</v>
      </c>
      <c r="F28" s="21"/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342</v>
      </c>
      <c r="R28" s="48"/>
    </row>
    <row r="29" s="5" customFormat="1" spans="1:18">
      <c r="A29" s="28"/>
      <c r="B29" s="23"/>
      <c r="C29" s="20" t="s">
        <v>97</v>
      </c>
      <c r="D29" s="21">
        <v>0</v>
      </c>
      <c r="E29" s="21">
        <v>466.7</v>
      </c>
      <c r="F29" s="21">
        <v>739.35</v>
      </c>
      <c r="G29" s="21">
        <v>471.56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1677.61</v>
      </c>
      <c r="R29" s="48"/>
    </row>
    <row r="30" s="5" customFormat="1" spans="1:18">
      <c r="A30" s="28"/>
      <c r="B30" s="26" t="s">
        <v>98</v>
      </c>
      <c r="C30" s="25" t="s">
        <v>98</v>
      </c>
      <c r="D30" s="21">
        <v>0</v>
      </c>
      <c r="E30" s="21">
        <v>0</v>
      </c>
      <c r="F30" s="21"/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  <c r="R30" s="48"/>
    </row>
    <row r="31" s="5" customFormat="1" spans="1:18">
      <c r="A31" s="28"/>
      <c r="B31" s="19" t="s">
        <v>99</v>
      </c>
      <c r="C31" s="25" t="s">
        <v>100</v>
      </c>
      <c r="D31" s="21">
        <v>0</v>
      </c>
      <c r="E31" s="21">
        <v>0</v>
      </c>
      <c r="F31" s="21"/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  <c r="R31" s="48"/>
    </row>
    <row r="32" s="5" customFormat="1" spans="1:18">
      <c r="A32" s="28"/>
      <c r="B32" s="24"/>
      <c r="C32" s="25" t="s">
        <v>101</v>
      </c>
      <c r="D32" s="21">
        <v>0</v>
      </c>
      <c r="E32" s="21">
        <v>0</v>
      </c>
      <c r="F32" s="21"/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  <c r="R32" s="48"/>
    </row>
    <row r="33" s="5" customFormat="1" spans="1:18">
      <c r="A33" s="28"/>
      <c r="B33" s="23"/>
      <c r="C33" s="20" t="s">
        <v>102</v>
      </c>
      <c r="D33" s="21">
        <v>268</v>
      </c>
      <c r="E33" s="21">
        <v>965</v>
      </c>
      <c r="F33" s="21">
        <v>552.27</v>
      </c>
      <c r="G33" s="21">
        <v>118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1903.27</v>
      </c>
      <c r="R33" s="48"/>
    </row>
    <row r="34" s="5" customFormat="1" spans="1:18">
      <c r="A34" s="28"/>
      <c r="B34" s="19" t="s">
        <v>103</v>
      </c>
      <c r="C34" s="25" t="s">
        <v>104</v>
      </c>
      <c r="D34" s="21">
        <v>22252.52</v>
      </c>
      <c r="E34" s="21">
        <v>17679.77</v>
      </c>
      <c r="F34" s="21">
        <v>5954.43</v>
      </c>
      <c r="G34" s="21">
        <v>13337.96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59224.68</v>
      </c>
      <c r="R34" s="48"/>
    </row>
    <row r="35" s="5" customFormat="1" spans="1:18">
      <c r="A35" s="28"/>
      <c r="B35" s="23"/>
      <c r="C35" s="25" t="s">
        <v>105</v>
      </c>
      <c r="D35" s="21"/>
      <c r="E35" s="21"/>
      <c r="F35" s="21"/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  <c r="R35" s="48"/>
    </row>
    <row r="36" s="5" customFormat="1" spans="1:18">
      <c r="A36" s="28"/>
      <c r="B36" s="26" t="s">
        <v>106</v>
      </c>
      <c r="C36" s="25" t="s">
        <v>106</v>
      </c>
      <c r="D36" s="21">
        <v>0</v>
      </c>
      <c r="E36" s="21">
        <v>1030</v>
      </c>
      <c r="F36" s="21">
        <v>2471.53</v>
      </c>
      <c r="G36" s="21">
        <v>6764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10265.53</v>
      </c>
      <c r="R36" s="48"/>
    </row>
    <row r="37" s="5" customFormat="1" spans="1:18">
      <c r="A37" s="28"/>
      <c r="B37" s="26" t="s">
        <v>107</v>
      </c>
      <c r="C37" s="25" t="s">
        <v>107</v>
      </c>
      <c r="D37" s="21">
        <v>18993.55</v>
      </c>
      <c r="E37" s="21">
        <v>-41000</v>
      </c>
      <c r="F37" s="21">
        <v>7795</v>
      </c>
      <c r="G37" s="21">
        <v>11985.25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-2226.2</v>
      </c>
      <c r="R37" s="48"/>
    </row>
    <row r="38" s="5" customFormat="1" spans="1:18">
      <c r="A38" s="28"/>
      <c r="B38" s="19" t="s">
        <v>108</v>
      </c>
      <c r="C38" s="25" t="s">
        <v>109</v>
      </c>
      <c r="D38" s="21">
        <v>0</v>
      </c>
      <c r="E38" s="21">
        <v>10000</v>
      </c>
      <c r="F38" s="21"/>
      <c r="G38" s="21">
        <v>17000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27000</v>
      </c>
      <c r="R38" s="48"/>
    </row>
    <row r="39" s="5" customFormat="1" spans="1:18">
      <c r="A39" s="28"/>
      <c r="B39" s="23"/>
      <c r="C39" s="25" t="s">
        <v>110</v>
      </c>
      <c r="D39" s="21">
        <v>0</v>
      </c>
      <c r="E39" s="21">
        <v>0</v>
      </c>
      <c r="F39" s="21"/>
      <c r="G39" s="21">
        <v>9540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9540</v>
      </c>
      <c r="R39" s="48"/>
    </row>
    <row r="40" s="5" customFormat="1" spans="1:18">
      <c r="A40" s="28"/>
      <c r="B40" s="26" t="s">
        <v>111</v>
      </c>
      <c r="C40" s="25" t="s">
        <v>111</v>
      </c>
      <c r="D40" s="21">
        <v>0</v>
      </c>
      <c r="E40" s="21">
        <v>0</v>
      </c>
      <c r="F40" s="21"/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  <c r="R40" s="48"/>
    </row>
    <row r="41" s="5" customFormat="1" spans="1:18">
      <c r="A41" s="29" t="s">
        <v>112</v>
      </c>
      <c r="B41" s="30" t="s">
        <v>113</v>
      </c>
      <c r="C41" s="20" t="s">
        <v>113</v>
      </c>
      <c r="D41" s="21">
        <v>1430</v>
      </c>
      <c r="E41" s="21">
        <v>0</v>
      </c>
      <c r="F41" s="21">
        <v>24.72</v>
      </c>
      <c r="G41" s="21">
        <v>19394.36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20849.08</v>
      </c>
      <c r="R41" s="48"/>
    </row>
    <row r="42" s="5" customFormat="1" spans="1:18">
      <c r="A42" s="31"/>
      <c r="B42" s="19" t="s">
        <v>114</v>
      </c>
      <c r="C42" s="32" t="s">
        <v>114</v>
      </c>
      <c r="D42" s="21">
        <v>661.86</v>
      </c>
      <c r="E42" s="21">
        <v>953.62</v>
      </c>
      <c r="F42" s="21">
        <v>6227.71</v>
      </c>
      <c r="G42" s="21">
        <v>2384.31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10227.5</v>
      </c>
      <c r="R42" s="48"/>
    </row>
    <row r="43" s="5" customFormat="1" spans="1:18">
      <c r="A43" s="31"/>
      <c r="B43" s="19" t="s">
        <v>115</v>
      </c>
      <c r="C43" s="32" t="s">
        <v>115</v>
      </c>
      <c r="D43" s="21">
        <v>0</v>
      </c>
      <c r="E43" s="21">
        <v>0</v>
      </c>
      <c r="F43" s="21"/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  <c r="R43" s="48"/>
    </row>
    <row r="44" s="5" customFormat="1" spans="1:18">
      <c r="A44" s="31"/>
      <c r="B44" s="19" t="s">
        <v>116</v>
      </c>
      <c r="C44" s="32" t="s">
        <v>117</v>
      </c>
      <c r="D44" s="21">
        <v>0</v>
      </c>
      <c r="E44" s="21">
        <v>0</v>
      </c>
      <c r="F44" s="21"/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  <c r="R44" s="48"/>
    </row>
    <row r="45" s="5" customFormat="1" spans="1:18">
      <c r="A45" s="31"/>
      <c r="B45" s="23"/>
      <c r="C45" s="32" t="s">
        <v>118</v>
      </c>
      <c r="D45" s="21">
        <v>0</v>
      </c>
      <c r="E45" s="21">
        <v>0</v>
      </c>
      <c r="F45" s="21"/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  <c r="R45" s="48"/>
    </row>
    <row r="46" s="5" customFormat="1" spans="1:18">
      <c r="A46" s="31"/>
      <c r="B46" s="26" t="s">
        <v>119</v>
      </c>
      <c r="C46" s="33" t="s">
        <v>119</v>
      </c>
      <c r="D46" s="21">
        <v>453075.37</v>
      </c>
      <c r="E46" s="21">
        <v>452038.16</v>
      </c>
      <c r="F46" s="21">
        <v>452507.09</v>
      </c>
      <c r="G46" s="21">
        <v>450765.53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1808386.15</v>
      </c>
      <c r="R46" s="48"/>
    </row>
    <row r="47" s="5" customFormat="1" spans="1:18">
      <c r="A47" s="31"/>
      <c r="B47" s="26" t="s">
        <v>120</v>
      </c>
      <c r="C47" s="33" t="s">
        <v>120</v>
      </c>
      <c r="D47" s="21">
        <v>0</v>
      </c>
      <c r="E47" s="21">
        <v>0</v>
      </c>
      <c r="F47" s="21">
        <v>74425.97</v>
      </c>
      <c r="G47" s="21">
        <v>74425.98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148851.95</v>
      </c>
      <c r="R47" s="48"/>
    </row>
    <row r="48" s="5" customFormat="1" spans="1:18">
      <c r="A48" s="31"/>
      <c r="B48" s="19" t="s">
        <v>121</v>
      </c>
      <c r="C48" s="32" t="s">
        <v>121</v>
      </c>
      <c r="D48" s="21">
        <v>32000</v>
      </c>
      <c r="E48" s="21">
        <v>32000</v>
      </c>
      <c r="F48" s="21">
        <v>58400</v>
      </c>
      <c r="G48" s="21">
        <v>45200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167600</v>
      </c>
      <c r="R48" s="48"/>
    </row>
    <row r="49" s="5" customFormat="1" spans="1:18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>
        <v>2223147.33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2223147.33</v>
      </c>
      <c r="R49" s="48"/>
    </row>
    <row r="50" s="5" customFormat="1" spans="1:18">
      <c r="A50" s="36"/>
      <c r="B50" s="38"/>
      <c r="C50" s="33" t="s">
        <v>125</v>
      </c>
      <c r="D50" s="21">
        <v>30072.4</v>
      </c>
      <c r="E50" s="21">
        <v>-29876.4</v>
      </c>
      <c r="F50" s="21"/>
      <c r="G50" s="21">
        <v>13274.34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13470.34</v>
      </c>
      <c r="R50" s="48"/>
    </row>
    <row r="51" s="5" customFormat="1" spans="1:18">
      <c r="A51" s="36"/>
      <c r="B51" s="39"/>
      <c r="C51" s="33" t="s">
        <v>83</v>
      </c>
      <c r="D51" s="21">
        <v>0</v>
      </c>
      <c r="E51" s="21"/>
      <c r="F51" s="21"/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  <c r="R51" s="48"/>
    </row>
    <row r="52" s="5" customFormat="1" spans="1:18">
      <c r="A52" s="36"/>
      <c r="B52" s="19" t="s">
        <v>126</v>
      </c>
      <c r="C52" s="33" t="s">
        <v>127</v>
      </c>
      <c r="D52" s="21">
        <v>30888.67</v>
      </c>
      <c r="E52" s="21">
        <v>522377.89</v>
      </c>
      <c r="F52" s="21">
        <v>1752005.45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2305272.01</v>
      </c>
      <c r="R52" s="48"/>
    </row>
    <row r="53" s="5" customFormat="1" spans="1:18">
      <c r="A53" s="36"/>
      <c r="B53" s="24"/>
      <c r="C53" s="33" t="s">
        <v>128</v>
      </c>
      <c r="D53" s="21">
        <v>1792.46</v>
      </c>
      <c r="E53" s="21">
        <v>2830.18</v>
      </c>
      <c r="F53" s="21">
        <v>7186.5</v>
      </c>
      <c r="G53" s="21">
        <v>2075.48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13884.62</v>
      </c>
      <c r="R53" s="48"/>
    </row>
    <row r="54" s="5" customFormat="1" spans="1:18">
      <c r="A54" s="36"/>
      <c r="B54" s="23"/>
      <c r="C54" s="33" t="s">
        <v>83</v>
      </c>
      <c r="D54" s="21">
        <v>0</v>
      </c>
      <c r="E54" s="21"/>
      <c r="F54" s="21"/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  <c r="R54" s="48"/>
    </row>
    <row r="55" s="5" customFormat="1" spans="1:18">
      <c r="A55" s="36"/>
      <c r="B55" s="40" t="s">
        <v>129</v>
      </c>
      <c r="C55" s="33" t="s">
        <v>129</v>
      </c>
      <c r="D55" s="21">
        <v>0</v>
      </c>
      <c r="E55" s="21">
        <v>0</v>
      </c>
      <c r="F55" s="21"/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  <c r="R55" s="48"/>
    </row>
    <row r="56" s="5" customFormat="1" spans="1:18">
      <c r="A56" s="36"/>
      <c r="B56" s="40" t="s">
        <v>130</v>
      </c>
      <c r="C56" s="33" t="s">
        <v>130</v>
      </c>
      <c r="D56" s="21">
        <v>-1095</v>
      </c>
      <c r="E56" s="21">
        <v>23570.76</v>
      </c>
      <c r="F56" s="21">
        <v>36745.56</v>
      </c>
      <c r="G56" s="21">
        <v>52689.51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111910.83</v>
      </c>
      <c r="R56" s="48"/>
    </row>
    <row r="57" s="5" customFormat="1" spans="1:18">
      <c r="A57" s="41" t="s">
        <v>131</v>
      </c>
      <c r="B57" s="26" t="s">
        <v>132</v>
      </c>
      <c r="C57" s="33" t="s">
        <v>132</v>
      </c>
      <c r="D57" s="21">
        <v>0</v>
      </c>
      <c r="E57" s="21">
        <v>0</v>
      </c>
      <c r="F57" s="21"/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  <c r="R57" s="48"/>
    </row>
    <row r="58" s="5" customFormat="1" spans="1:18">
      <c r="A58" s="41"/>
      <c r="B58" s="37" t="s">
        <v>133</v>
      </c>
      <c r="C58" s="33" t="s">
        <v>133</v>
      </c>
      <c r="D58" s="21">
        <v>0</v>
      </c>
      <c r="E58" s="21">
        <v>0</v>
      </c>
      <c r="F58" s="21"/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  <c r="R58" s="48"/>
    </row>
    <row r="59" s="5" customFormat="1" spans="1:18">
      <c r="A59" s="41"/>
      <c r="B59" s="37" t="s">
        <v>134</v>
      </c>
      <c r="C59" s="33" t="s">
        <v>135</v>
      </c>
      <c r="D59" s="21"/>
      <c r="E59" s="21"/>
      <c r="F59" s="21"/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  <c r="R59" s="48"/>
    </row>
    <row r="60" s="5" customFormat="1" spans="1:18">
      <c r="A60" s="41"/>
      <c r="B60" s="39"/>
      <c r="C60" s="33" t="s">
        <v>83</v>
      </c>
      <c r="D60" s="21">
        <v>0</v>
      </c>
      <c r="E60" s="21"/>
      <c r="F60" s="21"/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  <c r="R60" s="48"/>
    </row>
    <row r="61" s="5" customFormat="1" spans="1:18">
      <c r="A61" s="41"/>
      <c r="B61" s="40" t="s">
        <v>136</v>
      </c>
      <c r="C61" s="33" t="s">
        <v>136</v>
      </c>
      <c r="D61" s="21">
        <v>0</v>
      </c>
      <c r="E61" s="21">
        <v>0</v>
      </c>
      <c r="F61" s="21"/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  <c r="R61" s="48"/>
    </row>
    <row r="62" s="5" customFormat="1" spans="1:18">
      <c r="A62" s="41"/>
      <c r="B62" s="26" t="s">
        <v>137</v>
      </c>
      <c r="C62" s="33" t="s">
        <v>137</v>
      </c>
      <c r="D62" s="21">
        <v>0</v>
      </c>
      <c r="E62" s="21">
        <v>0</v>
      </c>
      <c r="F62" s="21"/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  <c r="R62" s="48"/>
    </row>
    <row r="63" s="5" customFormat="1" spans="1:18">
      <c r="A63" s="42" t="s">
        <v>138</v>
      </c>
      <c r="B63" s="43" t="s">
        <v>139</v>
      </c>
      <c r="C63" s="33" t="s">
        <v>139</v>
      </c>
      <c r="D63" s="21">
        <v>0</v>
      </c>
      <c r="E63" s="21">
        <v>0</v>
      </c>
      <c r="F63" s="87">
        <v>94.02</v>
      </c>
      <c r="G63" s="21">
        <v>0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94.02</v>
      </c>
      <c r="R63" s="48"/>
    </row>
    <row r="64" s="5" customFormat="1" spans="1:18">
      <c r="A64" s="42"/>
      <c r="B64" s="43" t="s">
        <v>140</v>
      </c>
      <c r="C64" s="33" t="s">
        <v>140</v>
      </c>
      <c r="D64" s="21">
        <v>0</v>
      </c>
      <c r="E64" s="21">
        <v>0</v>
      </c>
      <c r="F64" s="87">
        <v>0</v>
      </c>
      <c r="G64" s="21">
        <v>0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  <c r="R64" s="48"/>
    </row>
    <row r="65" s="5" customFormat="1" spans="1:18">
      <c r="A65" s="42"/>
      <c r="B65" s="43" t="s">
        <v>141</v>
      </c>
      <c r="C65" s="33" t="s">
        <v>141</v>
      </c>
      <c r="D65" s="21">
        <v>66594.74</v>
      </c>
      <c r="E65" s="21">
        <v>39704.1</v>
      </c>
      <c r="F65" s="87">
        <v>62023.74</v>
      </c>
      <c r="G65" s="21">
        <v>68472.96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236795.54</v>
      </c>
      <c r="R65" s="48"/>
    </row>
    <row r="66" s="5" customFormat="1" spans="1:18">
      <c r="A66" s="42"/>
      <c r="B66" s="43" t="s">
        <v>142</v>
      </c>
      <c r="C66" s="33" t="s">
        <v>142</v>
      </c>
      <c r="D66" s="21">
        <v>0</v>
      </c>
      <c r="E66" s="21">
        <v>0</v>
      </c>
      <c r="F66" s="87">
        <v>0</v>
      </c>
      <c r="G66" s="21">
        <v>0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  <c r="R66" s="48"/>
    </row>
    <row r="67" s="5" customFormat="1" spans="1:18">
      <c r="A67" s="42"/>
      <c r="B67" s="43" t="s">
        <v>143</v>
      </c>
      <c r="C67" s="33" t="s">
        <v>143</v>
      </c>
      <c r="D67" s="21">
        <v>9949.27</v>
      </c>
      <c r="E67" s="21">
        <v>5771.62</v>
      </c>
      <c r="F67" s="87">
        <v>11827.89</v>
      </c>
      <c r="G67" s="21">
        <v>13422.48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40971.26</v>
      </c>
      <c r="R67" s="48"/>
    </row>
    <row r="68" s="5" customFormat="1" spans="1:18">
      <c r="A68" s="42"/>
      <c r="B68" s="37" t="s">
        <v>144</v>
      </c>
      <c r="C68" s="33" t="s">
        <v>145</v>
      </c>
      <c r="D68" s="21">
        <v>0</v>
      </c>
      <c r="E68" s="21">
        <v>0</v>
      </c>
      <c r="F68" s="21"/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  <c r="R68" s="48"/>
    </row>
    <row r="69" s="5" customFormat="1" spans="1:18">
      <c r="A69" s="42"/>
      <c r="B69" s="39"/>
      <c r="C69" s="33" t="s">
        <v>146</v>
      </c>
      <c r="D69" s="21">
        <v>0</v>
      </c>
      <c r="E69" s="21">
        <v>0</v>
      </c>
      <c r="F69" s="21"/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  <c r="R69" s="48"/>
    </row>
    <row r="70" s="5" customFormat="1" spans="1:18">
      <c r="A70" s="42"/>
      <c r="B70" s="37" t="s">
        <v>147</v>
      </c>
      <c r="C70" s="32" t="s">
        <v>147</v>
      </c>
      <c r="D70" s="21">
        <v>0</v>
      </c>
      <c r="E70" s="21">
        <v>328.3</v>
      </c>
      <c r="F70" s="21">
        <v>835.56</v>
      </c>
      <c r="G70" s="21">
        <v>2494.71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3658.57</v>
      </c>
      <c r="R70" s="48"/>
    </row>
    <row r="71" s="5" customFormat="1" spans="1:18">
      <c r="A71" s="42"/>
      <c r="B71" s="40" t="s">
        <v>148</v>
      </c>
      <c r="C71" s="33" t="s">
        <v>148</v>
      </c>
      <c r="D71" s="21"/>
      <c r="E71" s="21"/>
      <c r="F71" s="21"/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  <c r="R71" s="48"/>
    </row>
    <row r="72" s="5" customFormat="1" spans="1:18">
      <c r="A72" s="42"/>
      <c r="B72" s="40" t="s">
        <v>149</v>
      </c>
      <c r="C72" s="33" t="s">
        <v>149</v>
      </c>
      <c r="D72" s="21"/>
      <c r="E72" s="21"/>
      <c r="F72" s="21"/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  <c r="R72" s="48"/>
    </row>
    <row r="73" s="5" customFormat="1" spans="1:18">
      <c r="A73" s="42"/>
      <c r="B73" s="37" t="s">
        <v>150</v>
      </c>
      <c r="C73" s="33" t="s">
        <v>151</v>
      </c>
      <c r="D73" s="21"/>
      <c r="E73" s="21"/>
      <c r="F73" s="21"/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  <c r="R73" s="48"/>
    </row>
    <row r="74" s="5" customFormat="1" spans="1:18">
      <c r="A74" s="42"/>
      <c r="B74" s="39"/>
      <c r="C74" s="49" t="s">
        <v>152</v>
      </c>
      <c r="D74" s="21">
        <v>0</v>
      </c>
      <c r="E74" s="21">
        <v>0</v>
      </c>
      <c r="F74" s="21"/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  <c r="R74" s="48"/>
    </row>
    <row r="75" s="5" customFormat="1" spans="1:18">
      <c r="A75" s="42"/>
      <c r="B75" s="40" t="s">
        <v>153</v>
      </c>
      <c r="C75" s="33" t="s">
        <v>153</v>
      </c>
      <c r="D75" s="21">
        <v>0</v>
      </c>
      <c r="E75" s="21">
        <v>0</v>
      </c>
      <c r="F75" s="21"/>
      <c r="G75" s="21">
        <v>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  <c r="R75" s="48"/>
    </row>
    <row r="76" s="5" customFormat="1" spans="1:18">
      <c r="A76" s="50" t="s">
        <v>154</v>
      </c>
      <c r="B76" s="19" t="s">
        <v>155</v>
      </c>
      <c r="C76" s="32" t="s">
        <v>155</v>
      </c>
      <c r="D76" s="21">
        <v>0</v>
      </c>
      <c r="E76" s="21">
        <v>0</v>
      </c>
      <c r="F76" s="21"/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  <c r="R76" s="48"/>
    </row>
    <row r="77" s="5" customFormat="1" spans="1:18">
      <c r="A77" s="50"/>
      <c r="B77" s="19" t="s">
        <v>156</v>
      </c>
      <c r="C77" s="33" t="s">
        <v>157</v>
      </c>
      <c r="D77" s="21"/>
      <c r="E77" s="21">
        <v>10554.72</v>
      </c>
      <c r="F77" s="21">
        <v>19150.94</v>
      </c>
      <c r="G77" s="21">
        <v>-9680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20025.66</v>
      </c>
      <c r="R77" s="48"/>
    </row>
    <row r="78" s="5" customFormat="1" spans="1:18">
      <c r="A78" s="50"/>
      <c r="B78" s="23"/>
      <c r="C78" s="49" t="s">
        <v>158</v>
      </c>
      <c r="D78" s="21"/>
      <c r="E78" s="21"/>
      <c r="F78" s="21"/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  <c r="R78" s="48"/>
    </row>
    <row r="79" s="5" customFormat="1" spans="1:18">
      <c r="A79" s="50"/>
      <c r="B79" s="26" t="s">
        <v>159</v>
      </c>
      <c r="C79" s="33" t="s">
        <v>159</v>
      </c>
      <c r="D79" s="21">
        <v>0</v>
      </c>
      <c r="E79" s="21">
        <v>0</v>
      </c>
      <c r="F79" s="21"/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  <c r="R79" s="48"/>
    </row>
    <row r="80" s="5" customFormat="1" spans="1:18">
      <c r="A80" s="51" t="s">
        <v>160</v>
      </c>
      <c r="B80" s="26" t="s">
        <v>161</v>
      </c>
      <c r="C80" s="33" t="s">
        <v>161</v>
      </c>
      <c r="D80" s="21">
        <v>415.82</v>
      </c>
      <c r="E80" s="21">
        <v>0</v>
      </c>
      <c r="F80" s="21">
        <v>619.21</v>
      </c>
      <c r="G80" s="21">
        <v>924.81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1959.84</v>
      </c>
      <c r="R80" s="48"/>
    </row>
    <row r="81" s="5" customFormat="1" spans="1:18">
      <c r="A81" s="51"/>
      <c r="B81" s="26" t="s">
        <v>162</v>
      </c>
      <c r="C81" s="25" t="s">
        <v>162</v>
      </c>
      <c r="D81" s="21">
        <v>0</v>
      </c>
      <c r="E81" s="21">
        <v>0</v>
      </c>
      <c r="F81" s="21"/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  <c r="R81" s="48"/>
    </row>
    <row r="82" s="5" customFormat="1" spans="1:18">
      <c r="A82" s="51"/>
      <c r="B82" s="19" t="s">
        <v>163</v>
      </c>
      <c r="C82" s="25" t="s">
        <v>164</v>
      </c>
      <c r="D82" s="21">
        <v>0</v>
      </c>
      <c r="E82" s="21">
        <v>0</v>
      </c>
      <c r="F82" s="21"/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  <c r="R82" s="48"/>
    </row>
    <row r="83" s="5" customFormat="1" spans="1:18">
      <c r="A83" s="51"/>
      <c r="B83" s="24"/>
      <c r="C83" s="25" t="s">
        <v>165</v>
      </c>
      <c r="D83" s="21">
        <v>0</v>
      </c>
      <c r="E83" s="21">
        <v>0</v>
      </c>
      <c r="F83" s="21"/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  <c r="R83" s="48"/>
    </row>
    <row r="84" s="5" customFormat="1" spans="1:18">
      <c r="A84" s="51"/>
      <c r="B84" s="23"/>
      <c r="C84" s="25" t="s">
        <v>166</v>
      </c>
      <c r="D84" s="21">
        <v>0</v>
      </c>
      <c r="E84" s="21">
        <v>0</v>
      </c>
      <c r="F84" s="21"/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  <c r="R84" s="48"/>
    </row>
    <row r="85" s="5" customFormat="1" spans="1:18">
      <c r="A85" s="51"/>
      <c r="B85" s="26" t="s">
        <v>167</v>
      </c>
      <c r="C85" s="33" t="s">
        <v>167</v>
      </c>
      <c r="D85" s="21">
        <v>0</v>
      </c>
      <c r="E85" s="21">
        <v>0</v>
      </c>
      <c r="F85" s="21"/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  <c r="R85" s="48"/>
    </row>
    <row r="86" s="5" customFormat="1" spans="1:18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  <c r="R86" s="48"/>
    </row>
    <row r="87" s="5" customFormat="1" spans="1:18">
      <c r="A87" s="52"/>
      <c r="B87" s="26" t="s">
        <v>170</v>
      </c>
      <c r="C87" s="33" t="s">
        <v>170</v>
      </c>
      <c r="D87" s="21">
        <v>0</v>
      </c>
      <c r="E87" s="21">
        <v>0</v>
      </c>
      <c r="F87" s="21"/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  <c r="R87" s="48"/>
    </row>
    <row r="88" s="5" customFormat="1" spans="1:18">
      <c r="A88" s="52"/>
      <c r="B88" s="26" t="s">
        <v>171</v>
      </c>
      <c r="C88" s="33" t="s">
        <v>171</v>
      </c>
      <c r="D88" s="21">
        <v>0</v>
      </c>
      <c r="E88" s="21">
        <v>0</v>
      </c>
      <c r="F88" s="21"/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  <c r="R88" s="48"/>
    </row>
    <row r="89" s="5" customFormat="1" spans="1:18">
      <c r="A89" s="52"/>
      <c r="B89" s="19" t="s">
        <v>172</v>
      </c>
      <c r="C89" s="32" t="s">
        <v>172</v>
      </c>
      <c r="D89" s="21">
        <v>0</v>
      </c>
      <c r="E89" s="21">
        <v>0</v>
      </c>
      <c r="F89" s="21"/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  <c r="R89" s="48"/>
    </row>
    <row r="90" s="5" customFormat="1" spans="1:18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  <c r="R90" s="48"/>
    </row>
    <row r="91" s="5" customFormat="1" spans="1:18">
      <c r="A91" s="54"/>
      <c r="B91" s="23" t="s">
        <v>175</v>
      </c>
      <c r="C91" s="55" t="s">
        <v>175</v>
      </c>
      <c r="D91" s="21">
        <v>0</v>
      </c>
      <c r="E91" s="21">
        <v>0</v>
      </c>
      <c r="F91" s="21"/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  <c r="R91" s="48"/>
    </row>
    <row r="92" s="5" customFormat="1" spans="1:18">
      <c r="A92" s="56"/>
      <c r="B92" s="26" t="s">
        <v>83</v>
      </c>
      <c r="C92" s="33" t="s">
        <v>83</v>
      </c>
      <c r="D92" s="21">
        <v>27831.3</v>
      </c>
      <c r="E92" s="21">
        <v>27831.31</v>
      </c>
      <c r="F92" s="21">
        <v>27831.3</v>
      </c>
      <c r="G92" s="21">
        <v>27831.32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111325.23</v>
      </c>
      <c r="R92" s="48"/>
    </row>
    <row r="93" s="6" customFormat="1" spans="1:18">
      <c r="A93" s="57" t="s">
        <v>12</v>
      </c>
      <c r="B93" s="57"/>
      <c r="C93" s="57"/>
      <c r="D93" s="58">
        <f t="shared" ref="D93:E93" si="2">SUM(D6:D92)</f>
        <v>3299715.03</v>
      </c>
      <c r="E93" s="58">
        <f t="shared" si="2"/>
        <v>2788447.09</v>
      </c>
      <c r="F93" s="58">
        <f t="shared" ref="F93:P93" si="3">SUM(F6:F92)</f>
        <v>4081798.34</v>
      </c>
      <c r="G93" s="58">
        <f>SUM(G6:G92)</f>
        <v>5888887.31</v>
      </c>
      <c r="H93" s="58">
        <f t="shared" si="3"/>
        <v>0</v>
      </c>
      <c r="I93" s="74">
        <f t="shared" si="3"/>
        <v>0</v>
      </c>
      <c r="J93" s="74">
        <f t="shared" si="3"/>
        <v>0</v>
      </c>
      <c r="K93" s="58">
        <f t="shared" si="3"/>
        <v>0</v>
      </c>
      <c r="L93" s="58">
        <f t="shared" si="3"/>
        <v>0</v>
      </c>
      <c r="M93" s="58">
        <f t="shared" si="3"/>
        <v>0</v>
      </c>
      <c r="N93" s="58">
        <f t="shared" si="3"/>
        <v>0</v>
      </c>
      <c r="O93" s="58">
        <f t="shared" si="3"/>
        <v>0</v>
      </c>
      <c r="P93" s="58">
        <f t="shared" si="3"/>
        <v>16058847.77</v>
      </c>
      <c r="R93" s="48"/>
    </row>
    <row r="94" s="7" customFormat="1" spans="1:18">
      <c r="A94" s="93" t="s">
        <v>176</v>
      </c>
      <c r="B94" s="94"/>
      <c r="C94" s="95"/>
      <c r="D94" s="87">
        <v>1098182.175</v>
      </c>
      <c r="E94" s="87">
        <v>941983.005</v>
      </c>
      <c r="F94" s="87">
        <v>1626497.055</v>
      </c>
      <c r="G94" s="87">
        <v>2381072.02000001</v>
      </c>
      <c r="H94" s="293"/>
      <c r="I94" s="46"/>
      <c r="J94" s="300"/>
      <c r="K94" s="293"/>
      <c r="L94" s="293"/>
      <c r="M94" s="293"/>
      <c r="N94" s="236"/>
      <c r="O94" s="300"/>
      <c r="P94" s="47">
        <f t="shared" si="1"/>
        <v>6047734.25500001</v>
      </c>
      <c r="R94" s="48"/>
    </row>
    <row r="95" s="7" customFormat="1" spans="1:18">
      <c r="A95" s="93" t="s">
        <v>177</v>
      </c>
      <c r="B95" s="94"/>
      <c r="C95" s="95"/>
      <c r="D95" s="87">
        <v>1098182.175</v>
      </c>
      <c r="E95" s="87">
        <v>941983.005</v>
      </c>
      <c r="F95" s="87">
        <v>1626497.055</v>
      </c>
      <c r="G95" s="87">
        <v>2381072.02000001</v>
      </c>
      <c r="H95" s="293"/>
      <c r="I95" s="46"/>
      <c r="J95" s="300"/>
      <c r="K95" s="293"/>
      <c r="L95" s="293"/>
      <c r="M95" s="293"/>
      <c r="N95" s="236"/>
      <c r="O95" s="300"/>
      <c r="P95" s="47">
        <f t="shared" si="1"/>
        <v>6047734.25500001</v>
      </c>
      <c r="R95" s="48"/>
    </row>
    <row r="96" s="7" customFormat="1" spans="1:18">
      <c r="A96" s="93" t="s">
        <v>178</v>
      </c>
      <c r="B96" s="94"/>
      <c r="C96" s="95"/>
      <c r="D96" s="87">
        <v>1103350.68</v>
      </c>
      <c r="E96" s="87">
        <v>904481.079999998</v>
      </c>
      <c r="F96" s="87">
        <v>828804.230000001</v>
      </c>
      <c r="G96" s="87">
        <v>1126743.27</v>
      </c>
      <c r="H96" s="293"/>
      <c r="I96" s="293"/>
      <c r="J96" s="293"/>
      <c r="K96" s="293"/>
      <c r="L96" s="293"/>
      <c r="M96" s="293"/>
      <c r="N96" s="293"/>
      <c r="O96" s="293"/>
      <c r="P96" s="47">
        <f t="shared" si="1"/>
        <v>3963379.26</v>
      </c>
      <c r="Q96" s="91"/>
      <c r="R96" s="48"/>
    </row>
    <row r="97" s="7" customFormat="1" spans="1:18">
      <c r="A97" s="93" t="s">
        <v>179</v>
      </c>
      <c r="B97" s="94"/>
      <c r="C97" s="95"/>
      <c r="D97" s="87"/>
      <c r="E97" s="87"/>
      <c r="F97" s="87"/>
      <c r="G97" s="87"/>
      <c r="H97" s="293"/>
      <c r="I97" s="293"/>
      <c r="J97" s="293"/>
      <c r="K97" s="293"/>
      <c r="L97" s="293"/>
      <c r="M97" s="293"/>
      <c r="N97" s="293"/>
      <c r="O97" s="293"/>
      <c r="P97" s="47">
        <f t="shared" si="1"/>
        <v>0</v>
      </c>
      <c r="R97" s="48"/>
    </row>
    <row r="98" s="190" customFormat="1" ht="13.5" spans="1:16">
      <c r="A98" s="93" t="s">
        <v>180</v>
      </c>
      <c r="B98" s="94"/>
      <c r="C98" s="95"/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</row>
    <row r="99" spans="4:16">
      <c r="D99" s="305">
        <f>D93-D94-D95-D96</f>
        <v>2.79396772384644e-9</v>
      </c>
      <c r="E99" s="305">
        <f t="shared" ref="E99:O99" si="4">E93-E94-E95-E96</f>
        <v>1.97906047105789e-9</v>
      </c>
      <c r="F99" s="305">
        <f t="shared" si="4"/>
        <v>0</v>
      </c>
      <c r="G99" s="305">
        <f t="shared" si="4"/>
        <v>-2.00234353542328e-8</v>
      </c>
      <c r="H99" s="305">
        <f t="shared" si="4"/>
        <v>0</v>
      </c>
      <c r="I99" s="305">
        <f t="shared" si="4"/>
        <v>0</v>
      </c>
      <c r="J99" s="305">
        <f t="shared" si="4"/>
        <v>0</v>
      </c>
      <c r="K99" s="305">
        <f t="shared" si="4"/>
        <v>0</v>
      </c>
      <c r="L99" s="305">
        <f t="shared" si="4"/>
        <v>0</v>
      </c>
      <c r="M99" s="305">
        <f t="shared" si="4"/>
        <v>0</v>
      </c>
      <c r="N99" s="305">
        <f t="shared" si="4"/>
        <v>0</v>
      </c>
      <c r="O99" s="305">
        <f t="shared" si="4"/>
        <v>0</v>
      </c>
      <c r="P99" s="90" t="str">
        <f>IF(SUM(P94:P97)=P93,"ok","no")</f>
        <v>ok</v>
      </c>
    </row>
    <row r="101" spans="4:16">
      <c r="D101" s="68">
        <f>D93-'G-高新'!D91</f>
        <v>0</v>
      </c>
      <c r="E101" s="68">
        <f>E93-'G-高新'!E91</f>
        <v>0</v>
      </c>
      <c r="F101" s="68">
        <f>F93-'G-高新'!F91</f>
        <v>0</v>
      </c>
      <c r="G101" s="68">
        <f>G93-'G-高新'!G91</f>
        <v>0</v>
      </c>
      <c r="H101" s="68">
        <f>H93-'G-高新'!H91</f>
        <v>0</v>
      </c>
      <c r="I101" s="68">
        <f>I93-'G-高新'!I91</f>
        <v>0</v>
      </c>
      <c r="J101" s="68">
        <f>J93-'G-高新'!J91</f>
        <v>0</v>
      </c>
      <c r="K101" s="68">
        <f>K93-'G-高新'!K91</f>
        <v>0</v>
      </c>
      <c r="L101" s="68">
        <f>L93-'G-高新'!L91</f>
        <v>0</v>
      </c>
      <c r="M101" s="68">
        <f>M93-'G-高新'!M91</f>
        <v>0</v>
      </c>
      <c r="N101" s="68">
        <f>N93-'G-高新'!N91</f>
        <v>0</v>
      </c>
      <c r="O101" s="68">
        <f>O93-'G-高新'!O91</f>
        <v>0</v>
      </c>
      <c r="P101" s="68">
        <f>P93-'G-高新'!P91</f>
        <v>0</v>
      </c>
    </row>
    <row r="104" spans="4:5">
      <c r="D104" s="68"/>
      <c r="E104" s="68"/>
    </row>
  </sheetData>
  <autoFilter ref="A5:R99">
    <extLst/>
  </autoFilter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D108" sqref="D108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2.875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264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-10309.29</v>
      </c>
    </row>
    <row r="7" s="5" customFormat="1" spans="1:16">
      <c r="A7" s="22"/>
      <c r="B7" s="23"/>
      <c r="C7" s="20" t="s">
        <v>71</v>
      </c>
      <c r="D7" s="21">
        <v>-10309.29</v>
      </c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-10309.29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-10309.29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ref="I93" si="3">SUM(I6:I92)</f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-10309.29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100"/>
      <c r="E95" s="293"/>
      <c r="F95" s="293"/>
      <c r="G95" s="293"/>
      <c r="H95" s="293"/>
      <c r="I95" s="46"/>
      <c r="J95" s="293"/>
      <c r="K95" s="293"/>
      <c r="L95" s="293"/>
      <c r="M95" s="293"/>
      <c r="N95" s="293"/>
      <c r="O95" s="293"/>
      <c r="P95" s="293"/>
    </row>
    <row r="96" s="7" customFormat="1" ht="12.75" spans="1:16">
      <c r="A96" s="61" t="s">
        <v>179</v>
      </c>
      <c r="B96" s="62"/>
      <c r="C96" s="63"/>
      <c r="D96" s="301">
        <f>D93</f>
        <v>-10309.29</v>
      </c>
      <c r="E96" s="301">
        <f t="shared" ref="E96:P96" si="4">E93</f>
        <v>0</v>
      </c>
      <c r="F96" s="301">
        <f t="shared" si="4"/>
        <v>0</v>
      </c>
      <c r="G96" s="301">
        <f t="shared" si="4"/>
        <v>0</v>
      </c>
      <c r="H96" s="301">
        <f t="shared" si="4"/>
        <v>0</v>
      </c>
      <c r="I96" s="301">
        <f t="shared" si="4"/>
        <v>0</v>
      </c>
      <c r="J96" s="301">
        <f t="shared" si="4"/>
        <v>0</v>
      </c>
      <c r="K96" s="301">
        <f t="shared" si="4"/>
        <v>0</v>
      </c>
      <c r="L96" s="301">
        <f t="shared" si="4"/>
        <v>0</v>
      </c>
      <c r="M96" s="301">
        <f t="shared" si="4"/>
        <v>0</v>
      </c>
      <c r="N96" s="301">
        <f t="shared" si="4"/>
        <v>0</v>
      </c>
      <c r="O96" s="301">
        <f t="shared" si="4"/>
        <v>0</v>
      </c>
      <c r="P96" s="301">
        <f t="shared" si="4"/>
        <v>-10309.29</v>
      </c>
    </row>
    <row r="97" s="7" customFormat="1" ht="12.75" spans="1:16">
      <c r="A97" s="296" t="s">
        <v>265</v>
      </c>
      <c r="B97" s="297"/>
      <c r="C97" s="298"/>
      <c r="D97" s="294"/>
      <c r="E97" s="293"/>
      <c r="F97" s="293"/>
      <c r="G97" s="293"/>
      <c r="H97" s="293"/>
      <c r="I97" s="293"/>
      <c r="J97" s="293"/>
      <c r="K97" s="293"/>
      <c r="L97" s="293"/>
      <c r="M97" s="293"/>
      <c r="N97" s="293"/>
      <c r="O97" s="293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>
        <f>G93-G94-G95-G96-G97</f>
        <v>0</v>
      </c>
    </row>
    <row r="100" spans="4:16">
      <c r="D100" s="90" t="str">
        <f>IF(SUM('G-有机硅'!D91)=D93,"ok","no")</f>
        <v>ok</v>
      </c>
      <c r="E100" s="90" t="str">
        <f>IF(SUM('G-有机硅'!E91)=E93,"ok","no")</f>
        <v>ok</v>
      </c>
      <c r="F100" s="90" t="str">
        <f>IF(SUM('G-有机硅'!F91)=F93,"ok","no")</f>
        <v>ok</v>
      </c>
      <c r="G100" s="90" t="str">
        <f>IF(SUM('G-有机硅'!G91)=G93,"ok","no")</f>
        <v>ok</v>
      </c>
      <c r="H100" s="90" t="str">
        <f>IF(SUM('G-有机硅'!H91)=H93,"ok","no")</f>
        <v>ok</v>
      </c>
      <c r="I100" s="90" t="str">
        <f>IF(SUM('G-有机硅'!I91)=I93,"ok","no")</f>
        <v>ok</v>
      </c>
      <c r="J100" s="90" t="str">
        <f>IF(SUM('G-有机硅'!J91)=J93,"ok","no")</f>
        <v>ok</v>
      </c>
      <c r="K100" s="90" t="str">
        <f>IF(SUM('G-有机硅'!K91)=K93,"ok","no")</f>
        <v>ok</v>
      </c>
      <c r="L100" s="90" t="str">
        <f>IF(SUM('G-有机硅'!L91)=L93,"ok","no")</f>
        <v>ok</v>
      </c>
      <c r="M100" s="90" t="str">
        <f>IF(SUM('G-有机硅'!M91)=M93,"ok","no")</f>
        <v>ok</v>
      </c>
      <c r="N100" s="90" t="str">
        <f>IF(SUM('G-有机硅'!N91)=N93,"ok","no")</f>
        <v>ok</v>
      </c>
      <c r="O100" s="90" t="str">
        <f>IF(SUM('G-有机硅'!O91)=O93,"ok","no")</f>
        <v>ok</v>
      </c>
      <c r="P100" s="90" t="str">
        <f>IF(SUM('G-有机硅'!P91)=P93,"ok","no")</f>
        <v>ok</v>
      </c>
    </row>
    <row r="102" spans="7:7">
      <c r="G102" s="68"/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5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I111" sqref="I111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7" width="11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266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 t="shared" ref="D93:P93" si="2">SUM(D6:D92)</f>
        <v>0</v>
      </c>
      <c r="E93" s="58">
        <f t="shared" si="2"/>
        <v>0</v>
      </c>
      <c r="F93" s="58">
        <f t="shared" si="2"/>
        <v>0</v>
      </c>
      <c r="G93" s="58"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2.75" spans="1:16">
      <c r="A94" s="61" t="s">
        <v>244</v>
      </c>
      <c r="B94" s="62"/>
      <c r="C94" s="63"/>
      <c r="D94" s="100"/>
      <c r="E94" s="100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47">
        <f t="shared" si="1"/>
        <v>0</v>
      </c>
    </row>
    <row r="95" s="7" customFormat="1" ht="12.75" spans="1:16">
      <c r="A95" s="61" t="s">
        <v>245</v>
      </c>
      <c r="B95" s="62"/>
      <c r="C95" s="63"/>
      <c r="D95" s="100"/>
      <c r="E95" s="100"/>
      <c r="F95" s="293"/>
      <c r="G95" s="295"/>
      <c r="H95" s="295"/>
      <c r="I95" s="295"/>
      <c r="J95" s="295"/>
      <c r="K95" s="295"/>
      <c r="L95" s="295"/>
      <c r="M95" s="295"/>
      <c r="N95" s="295"/>
      <c r="O95" s="295"/>
      <c r="P95" s="47">
        <f t="shared" si="1"/>
        <v>0</v>
      </c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47">
        <f t="shared" si="1"/>
        <v>0</v>
      </c>
    </row>
    <row r="97" s="7" customFormat="1" ht="12.75" spans="1:16">
      <c r="A97" s="61" t="s">
        <v>180</v>
      </c>
      <c r="B97" s="62"/>
      <c r="C97" s="63"/>
      <c r="D97" s="301"/>
      <c r="E97" s="301"/>
      <c r="F97" s="301"/>
      <c r="G97" s="301"/>
      <c r="H97" s="301"/>
      <c r="I97" s="295"/>
      <c r="J97" s="295"/>
      <c r="K97" s="295"/>
      <c r="L97" s="295"/>
      <c r="M97" s="295"/>
      <c r="N97" s="295"/>
      <c r="O97" s="295"/>
      <c r="P97" s="47">
        <f t="shared" si="1"/>
        <v>0</v>
      </c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/>
    </row>
    <row r="100" spans="4:16">
      <c r="D100" s="90" t="str">
        <f>IF(SUM(D94:D98)=D93,"ok","no")</f>
        <v>ok</v>
      </c>
      <c r="E100" s="90" t="str">
        <f t="shared" ref="E100:P100" si="3">IF(SUM(E94:E98)=E93,"ok","no")</f>
        <v>ok</v>
      </c>
      <c r="F100" s="90" t="str">
        <f t="shared" si="3"/>
        <v>ok</v>
      </c>
      <c r="G100" s="90" t="str">
        <f t="shared" si="3"/>
        <v>ok</v>
      </c>
      <c r="H100" s="90" t="str">
        <f t="shared" si="3"/>
        <v>ok</v>
      </c>
      <c r="I100" s="90" t="str">
        <f t="shared" si="3"/>
        <v>ok</v>
      </c>
      <c r="J100" s="90" t="str">
        <f t="shared" si="3"/>
        <v>ok</v>
      </c>
      <c r="K100" s="90" t="str">
        <f t="shared" si="3"/>
        <v>ok</v>
      </c>
      <c r="L100" s="90" t="str">
        <f t="shared" si="3"/>
        <v>ok</v>
      </c>
      <c r="M100" s="90" t="str">
        <f t="shared" si="3"/>
        <v>ok</v>
      </c>
      <c r="N100" s="90" t="str">
        <f t="shared" si="3"/>
        <v>ok</v>
      </c>
      <c r="O100" s="90" t="str">
        <f t="shared" si="3"/>
        <v>ok</v>
      </c>
      <c r="P100" s="90" t="str">
        <f t="shared" si="3"/>
        <v>ok</v>
      </c>
    </row>
    <row r="102" spans="4:16">
      <c r="D102" s="68" t="b">
        <f>D93='G-张家港吉慕特'!D91</f>
        <v>1</v>
      </c>
      <c r="E102" s="68" t="b">
        <f>E93='G-张家港吉慕特'!E91</f>
        <v>1</v>
      </c>
      <c r="F102" s="68" t="b">
        <f>F93='G-张家港吉慕特'!F91</f>
        <v>1</v>
      </c>
      <c r="G102" s="68" t="b">
        <f>G93='G-美思'!G91</f>
        <v>1</v>
      </c>
      <c r="H102" s="68" t="b">
        <f>H93='G-张家港吉慕特'!H91</f>
        <v>1</v>
      </c>
      <c r="I102" s="68" t="b">
        <f>I93='G-张家港吉慕特'!I91</f>
        <v>1</v>
      </c>
      <c r="J102" s="68" t="b">
        <f>J93='G-张家港吉慕特'!J91</f>
        <v>1</v>
      </c>
      <c r="K102" s="68" t="b">
        <f>K93='G-张家港吉慕特'!K91</f>
        <v>1</v>
      </c>
      <c r="L102" s="68" t="e">
        <f>L93='G-张家港吉慕特'!#REF!</f>
        <v>#REF!</v>
      </c>
      <c r="M102" s="68" t="b">
        <f>M93='G-美思'!M91</f>
        <v>1</v>
      </c>
      <c r="N102" s="68" t="b">
        <f>N93='G-张家港吉慕特'!N91</f>
        <v>1</v>
      </c>
      <c r="O102" s="68" t="b">
        <f>O93='G-张家港吉慕特'!O91</f>
        <v>1</v>
      </c>
      <c r="P102" s="68" t="b">
        <f>P93='G-张家港吉慕特'!P91</f>
        <v>1</v>
      </c>
    </row>
    <row r="105" spans="4:4">
      <c r="D105" s="68">
        <f>D93+'Y-宜春天赐'!D97</f>
        <v>0</v>
      </c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267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>
        <v>38379.93</v>
      </c>
      <c r="E6" s="21">
        <v>43797.35</v>
      </c>
      <c r="F6" s="21">
        <v>83567.22</v>
      </c>
      <c r="G6" s="21">
        <v>88191</v>
      </c>
      <c r="H6" s="21"/>
      <c r="I6" s="46"/>
      <c r="J6" s="21"/>
      <c r="K6" s="21"/>
      <c r="L6" s="21"/>
      <c r="M6" s="21"/>
      <c r="N6" s="21"/>
      <c r="O6" s="21"/>
      <c r="P6" s="47">
        <f t="shared" ref="P6:P37" si="0">SUM(D6:O6)</f>
        <v>253935.5</v>
      </c>
      <c r="Q6" s="48">
        <f>P6+P7+P8+P19+P22+P23+P24+P25+P26</f>
        <v>242078.24</v>
      </c>
    </row>
    <row r="7" s="5" customFormat="1" spans="1:16">
      <c r="A7" s="22"/>
      <c r="B7" s="23"/>
      <c r="C7" s="20" t="s">
        <v>71</v>
      </c>
      <c r="D7" s="21">
        <v>-45998.13</v>
      </c>
      <c r="E7" s="21">
        <v>3051.88</v>
      </c>
      <c r="F7" s="21">
        <v>4392.78</v>
      </c>
      <c r="G7" s="21">
        <v>6560.55</v>
      </c>
      <c r="H7" s="21"/>
      <c r="I7" s="46"/>
      <c r="J7" s="21"/>
      <c r="K7" s="21"/>
      <c r="L7" s="21"/>
      <c r="M7" s="21"/>
      <c r="N7" s="21"/>
      <c r="O7" s="21"/>
      <c r="P7" s="47">
        <f t="shared" si="0"/>
        <v>-31992.92</v>
      </c>
    </row>
    <row r="8" s="5" customFormat="1" spans="1:16">
      <c r="A8" s="22"/>
      <c r="B8" s="19" t="s">
        <v>72</v>
      </c>
      <c r="C8" s="20" t="s">
        <v>72</v>
      </c>
      <c r="D8" s="21"/>
      <c r="E8" s="21" t="s">
        <v>225</v>
      </c>
      <c r="F8" s="21">
        <v>0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 t="s">
        <v>225</v>
      </c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 t="s">
        <v>225</v>
      </c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 t="s">
        <v>225</v>
      </c>
      <c r="F11" s="21">
        <v>0</v>
      </c>
      <c r="G11" s="21">
        <v>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 t="s">
        <v>225</v>
      </c>
      <c r="F12" s="21">
        <v>0</v>
      </c>
      <c r="G12" s="21">
        <v>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>
        <v>1299.43</v>
      </c>
      <c r="E13" s="21" t="s">
        <v>225</v>
      </c>
      <c r="F13" s="21">
        <v>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1299.43</v>
      </c>
    </row>
    <row r="14" s="5" customFormat="1" spans="1:16">
      <c r="A14" s="22"/>
      <c r="B14" s="24"/>
      <c r="C14" s="20" t="s">
        <v>79</v>
      </c>
      <c r="D14" s="21"/>
      <c r="E14" s="21" t="s">
        <v>225</v>
      </c>
      <c r="F14" s="21">
        <v>0</v>
      </c>
      <c r="G14" s="21">
        <v>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 t="s">
        <v>225</v>
      </c>
      <c r="F15" s="21">
        <v>0</v>
      </c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 t="s">
        <v>225</v>
      </c>
      <c r="F16" s="21">
        <v>0</v>
      </c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 t="s">
        <v>225</v>
      </c>
      <c r="F17" s="21">
        <v>0</v>
      </c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 t="s">
        <v>225</v>
      </c>
      <c r="F18" s="21">
        <v>0</v>
      </c>
      <c r="G18" s="21">
        <v>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>
        <v>2658</v>
      </c>
      <c r="E19" s="21">
        <v>2658</v>
      </c>
      <c r="F19" s="21">
        <v>2658</v>
      </c>
      <c r="G19" s="21">
        <v>3858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11832</v>
      </c>
    </row>
    <row r="20" s="5" customFormat="1" spans="1:16">
      <c r="A20" s="22"/>
      <c r="B20" s="19" t="s">
        <v>85</v>
      </c>
      <c r="C20" s="20" t="s">
        <v>85</v>
      </c>
      <c r="D20" s="21"/>
      <c r="E20" s="21" t="s">
        <v>225</v>
      </c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 t="s">
        <v>225</v>
      </c>
      <c r="F21" s="21">
        <v>0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>
        <v>3330.24</v>
      </c>
      <c r="E22" s="21">
        <v>3330.24</v>
      </c>
      <c r="F22" s="21">
        <v>-3330.24</v>
      </c>
      <c r="G22" s="21">
        <v>0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3330.24</v>
      </c>
    </row>
    <row r="23" s="5" customFormat="1" spans="1:16">
      <c r="A23" s="22"/>
      <c r="B23" s="24"/>
      <c r="C23" s="25" t="s">
        <v>89</v>
      </c>
      <c r="D23" s="21">
        <v>104.07</v>
      </c>
      <c r="E23" s="21">
        <v>104.07</v>
      </c>
      <c r="F23" s="21">
        <v>-104.07</v>
      </c>
      <c r="G23" s="21">
        <v>0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104.07</v>
      </c>
    </row>
    <row r="24" s="5" customFormat="1" spans="1:16">
      <c r="A24" s="22"/>
      <c r="B24" s="24"/>
      <c r="C24" s="25" t="s">
        <v>90</v>
      </c>
      <c r="D24" s="21">
        <v>166.54</v>
      </c>
      <c r="E24" s="21">
        <v>166.54</v>
      </c>
      <c r="F24" s="21">
        <v>-166.54</v>
      </c>
      <c r="G24" s="21">
        <v>0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166.54</v>
      </c>
    </row>
    <row r="25" s="5" customFormat="1" spans="1:16">
      <c r="A25" s="22"/>
      <c r="B25" s="24"/>
      <c r="C25" s="25" t="s">
        <v>91</v>
      </c>
      <c r="D25" s="21">
        <v>1352.46</v>
      </c>
      <c r="E25" s="21">
        <v>1352.46</v>
      </c>
      <c r="F25" s="21">
        <v>676.23</v>
      </c>
      <c r="G25" s="21">
        <v>676.23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4057.38</v>
      </c>
    </row>
    <row r="26" s="5" customFormat="1" spans="1:16">
      <c r="A26" s="22"/>
      <c r="B26" s="23"/>
      <c r="C26" s="25" t="s">
        <v>92</v>
      </c>
      <c r="D26" s="21">
        <v>180.33</v>
      </c>
      <c r="E26" s="21">
        <v>180.32</v>
      </c>
      <c r="F26" s="21">
        <v>90.16</v>
      </c>
      <c r="G26" s="21">
        <v>194.62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645.43</v>
      </c>
    </row>
    <row r="27" s="5" customFormat="1" spans="1:16">
      <c r="A27" s="22"/>
      <c r="B27" s="19" t="s">
        <v>93</v>
      </c>
      <c r="C27" s="20" t="s">
        <v>93</v>
      </c>
      <c r="D27" s="21"/>
      <c r="E27" s="21" t="s">
        <v>225</v>
      </c>
      <c r="F27" s="21">
        <v>0</v>
      </c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 t="s">
        <v>225</v>
      </c>
      <c r="F28" s="21">
        <v>0</v>
      </c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 t="s">
        <v>225</v>
      </c>
      <c r="F29" s="21">
        <v>0</v>
      </c>
      <c r="G29" s="21">
        <v>0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 t="s">
        <v>225</v>
      </c>
      <c r="F30" s="21">
        <v>0</v>
      </c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 t="s">
        <v>225</v>
      </c>
      <c r="F31" s="21">
        <v>0</v>
      </c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 t="s">
        <v>225</v>
      </c>
      <c r="F32" s="21">
        <v>0</v>
      </c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 t="s">
        <v>225</v>
      </c>
      <c r="F33" s="21">
        <v>0</v>
      </c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>
        <v>3457.53</v>
      </c>
      <c r="E34" s="21" t="s">
        <v>225</v>
      </c>
      <c r="F34" s="21">
        <v>0</v>
      </c>
      <c r="G34" s="21">
        <v>7590.55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11048.08</v>
      </c>
    </row>
    <row r="35" s="5" customFormat="1" spans="1:16">
      <c r="A35" s="28"/>
      <c r="B35" s="23"/>
      <c r="C35" s="25" t="s">
        <v>105</v>
      </c>
      <c r="D35" s="21"/>
      <c r="E35" s="21" t="s">
        <v>225</v>
      </c>
      <c r="F35" s="21">
        <v>0</v>
      </c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 t="s">
        <v>225</v>
      </c>
      <c r="F36" s="21">
        <v>0</v>
      </c>
      <c r="G36" s="21">
        <v>0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>
        <v>207</v>
      </c>
      <c r="E37" s="21" t="s">
        <v>225</v>
      </c>
      <c r="F37" s="21">
        <v>0</v>
      </c>
      <c r="G37" s="21">
        <v>0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207</v>
      </c>
    </row>
    <row r="38" s="5" customFormat="1" spans="1:16">
      <c r="A38" s="28"/>
      <c r="B38" s="19" t="s">
        <v>108</v>
      </c>
      <c r="C38" s="25" t="s">
        <v>109</v>
      </c>
      <c r="D38" s="21"/>
      <c r="E38" s="21" t="s">
        <v>225</v>
      </c>
      <c r="F38" s="21">
        <v>0</v>
      </c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ref="P38:P69" si="1">SUM(D38:O38)</f>
        <v>0</v>
      </c>
    </row>
    <row r="39" s="5" customFormat="1" spans="1:16">
      <c r="A39" s="28"/>
      <c r="B39" s="23"/>
      <c r="C39" s="25" t="s">
        <v>110</v>
      </c>
      <c r="D39" s="21"/>
      <c r="E39" s="21" t="s">
        <v>225</v>
      </c>
      <c r="F39" s="21">
        <v>0</v>
      </c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1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 t="s">
        <v>225</v>
      </c>
      <c r="F40" s="21">
        <v>0</v>
      </c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1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>
        <v>10.44</v>
      </c>
      <c r="F41" s="21">
        <v>4571.45</v>
      </c>
      <c r="G41" s="21">
        <v>0</v>
      </c>
      <c r="H41" s="21"/>
      <c r="I41" s="46"/>
      <c r="J41" s="21"/>
      <c r="K41" s="21"/>
      <c r="L41" s="21"/>
      <c r="M41" s="21"/>
      <c r="N41" s="21"/>
      <c r="O41" s="21"/>
      <c r="P41" s="47">
        <f t="shared" si="1"/>
        <v>4581.89</v>
      </c>
    </row>
    <row r="42" s="5" customFormat="1" spans="1:16">
      <c r="A42" s="31"/>
      <c r="B42" s="19" t="s">
        <v>114</v>
      </c>
      <c r="C42" s="32" t="s">
        <v>114</v>
      </c>
      <c r="D42" s="21"/>
      <c r="E42" s="21">
        <v>261.71</v>
      </c>
      <c r="F42" s="21">
        <v>9.73</v>
      </c>
      <c r="G42" s="21">
        <v>74.78</v>
      </c>
      <c r="H42" s="21"/>
      <c r="I42" s="46"/>
      <c r="J42" s="21"/>
      <c r="K42" s="21"/>
      <c r="L42" s="21"/>
      <c r="M42" s="21"/>
      <c r="N42" s="21"/>
      <c r="O42" s="21"/>
      <c r="P42" s="47">
        <f t="shared" si="1"/>
        <v>346.22</v>
      </c>
    </row>
    <row r="43" s="5" customFormat="1" spans="1:16">
      <c r="A43" s="31"/>
      <c r="B43" s="19" t="s">
        <v>115</v>
      </c>
      <c r="C43" s="32" t="s">
        <v>115</v>
      </c>
      <c r="D43" s="21"/>
      <c r="E43" s="21" t="s">
        <v>225</v>
      </c>
      <c r="F43" s="21">
        <v>0</v>
      </c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1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 t="s">
        <v>225</v>
      </c>
      <c r="F44" s="21">
        <v>0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1"/>
        <v>0</v>
      </c>
    </row>
    <row r="45" s="5" customFormat="1" spans="1:16">
      <c r="A45" s="31"/>
      <c r="B45" s="23"/>
      <c r="C45" s="32" t="s">
        <v>118</v>
      </c>
      <c r="D45" s="21"/>
      <c r="E45" s="21" t="s">
        <v>225</v>
      </c>
      <c r="F45" s="21">
        <v>0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1"/>
        <v>0</v>
      </c>
    </row>
    <row r="46" s="5" customFormat="1" spans="1:16">
      <c r="A46" s="31"/>
      <c r="B46" s="26" t="s">
        <v>119</v>
      </c>
      <c r="C46" s="33" t="s">
        <v>119</v>
      </c>
      <c r="D46" s="21">
        <v>22774.97</v>
      </c>
      <c r="E46" s="21">
        <v>22774.9</v>
      </c>
      <c r="F46" s="21">
        <v>22774.97</v>
      </c>
      <c r="G46" s="21">
        <v>22774.89</v>
      </c>
      <c r="H46" s="21"/>
      <c r="I46" s="46"/>
      <c r="J46" s="21"/>
      <c r="K46" s="21"/>
      <c r="L46" s="21"/>
      <c r="M46" s="21"/>
      <c r="N46" s="21"/>
      <c r="O46" s="21"/>
      <c r="P46" s="47">
        <f t="shared" si="1"/>
        <v>91099.73</v>
      </c>
    </row>
    <row r="47" s="5" customFormat="1" spans="1:16">
      <c r="A47" s="31"/>
      <c r="B47" s="26" t="s">
        <v>120</v>
      </c>
      <c r="C47" s="33" t="s">
        <v>120</v>
      </c>
      <c r="D47" s="21"/>
      <c r="E47" s="21" t="s">
        <v>225</v>
      </c>
      <c r="F47" s="21">
        <v>0</v>
      </c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1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 t="s">
        <v>225</v>
      </c>
      <c r="F48" s="21">
        <v>0</v>
      </c>
      <c r="G48" s="21">
        <v>0</v>
      </c>
      <c r="H48" s="21"/>
      <c r="I48" s="46"/>
      <c r="J48" s="21"/>
      <c r="K48" s="21"/>
      <c r="L48" s="21"/>
      <c r="M48" s="21"/>
      <c r="N48" s="21"/>
      <c r="O48" s="21"/>
      <c r="P48" s="47">
        <f t="shared" si="1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>
        <v>2896.42</v>
      </c>
      <c r="E49" s="21">
        <v>132.74</v>
      </c>
      <c r="F49" s="21">
        <v>2592.56</v>
      </c>
      <c r="G49" s="21">
        <v>8322.22</v>
      </c>
      <c r="H49" s="21"/>
      <c r="I49" s="46"/>
      <c r="J49" s="21"/>
      <c r="K49" s="21"/>
      <c r="L49" s="21"/>
      <c r="M49" s="21"/>
      <c r="N49" s="21"/>
      <c r="O49" s="21"/>
      <c r="P49" s="47">
        <f t="shared" si="1"/>
        <v>13943.94</v>
      </c>
    </row>
    <row r="50" s="5" customFormat="1" spans="1:16">
      <c r="A50" s="36"/>
      <c r="B50" s="38"/>
      <c r="C50" s="33" t="s">
        <v>125</v>
      </c>
      <c r="D50" s="21"/>
      <c r="E50" s="21" t="s">
        <v>225</v>
      </c>
      <c r="F50" s="21">
        <v>0</v>
      </c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1"/>
        <v>0</v>
      </c>
    </row>
    <row r="51" s="5" customFormat="1" spans="1:16">
      <c r="A51" s="36"/>
      <c r="B51" s="39"/>
      <c r="C51" s="33" t="s">
        <v>83</v>
      </c>
      <c r="D51" s="21"/>
      <c r="E51" s="21" t="s">
        <v>225</v>
      </c>
      <c r="F51" s="21">
        <v>0</v>
      </c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1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 t="s">
        <v>225</v>
      </c>
      <c r="F52" s="21">
        <v>0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1"/>
        <v>0</v>
      </c>
    </row>
    <row r="53" s="5" customFormat="1" spans="1:16">
      <c r="A53" s="36"/>
      <c r="B53" s="24"/>
      <c r="C53" s="33" t="s">
        <v>128</v>
      </c>
      <c r="D53" s="21"/>
      <c r="E53" s="21" t="s">
        <v>225</v>
      </c>
      <c r="F53" s="21">
        <v>0</v>
      </c>
      <c r="G53" s="21">
        <v>0</v>
      </c>
      <c r="H53" s="21"/>
      <c r="I53" s="46"/>
      <c r="J53" s="21"/>
      <c r="K53" s="21"/>
      <c r="L53" s="21"/>
      <c r="M53" s="21"/>
      <c r="N53" s="21"/>
      <c r="O53" s="21"/>
      <c r="P53" s="47">
        <f t="shared" si="1"/>
        <v>0</v>
      </c>
    </row>
    <row r="54" s="5" customFormat="1" spans="1:16">
      <c r="A54" s="36"/>
      <c r="B54" s="23"/>
      <c r="C54" s="33" t="s">
        <v>83</v>
      </c>
      <c r="D54" s="21"/>
      <c r="E54" s="21" t="s">
        <v>225</v>
      </c>
      <c r="F54" s="21">
        <v>0</v>
      </c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1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 t="s">
        <v>225</v>
      </c>
      <c r="F55" s="21">
        <v>0</v>
      </c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1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>
        <v>280</v>
      </c>
      <c r="F56" s="21">
        <v>0</v>
      </c>
      <c r="G56" s="21">
        <v>15080</v>
      </c>
      <c r="H56" s="21"/>
      <c r="I56" s="46"/>
      <c r="J56" s="21"/>
      <c r="K56" s="21"/>
      <c r="L56" s="21"/>
      <c r="M56" s="21"/>
      <c r="N56" s="21"/>
      <c r="O56" s="21"/>
      <c r="P56" s="47">
        <f t="shared" si="1"/>
        <v>15360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 t="s">
        <v>225</v>
      </c>
      <c r="F57" s="21">
        <v>0</v>
      </c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1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 t="s">
        <v>225</v>
      </c>
      <c r="F58" s="21">
        <v>0</v>
      </c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1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 t="s">
        <v>225</v>
      </c>
      <c r="F59" s="21">
        <v>0</v>
      </c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1"/>
        <v>0</v>
      </c>
    </row>
    <row r="60" s="5" customFormat="1" spans="1:16">
      <c r="A60" s="41"/>
      <c r="B60" s="39"/>
      <c r="C60" s="33" t="s">
        <v>83</v>
      </c>
      <c r="D60" s="21"/>
      <c r="E60" s="21" t="s">
        <v>225</v>
      </c>
      <c r="F60" s="21">
        <v>0</v>
      </c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1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 t="s">
        <v>225</v>
      </c>
      <c r="F61" s="21">
        <v>0</v>
      </c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1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 t="s">
        <v>225</v>
      </c>
      <c r="F62" s="21">
        <v>0</v>
      </c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1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 t="s">
        <v>225</v>
      </c>
      <c r="F63" s="21">
        <v>0</v>
      </c>
      <c r="G63" s="21">
        <v>0</v>
      </c>
      <c r="H63" s="21"/>
      <c r="I63" s="46"/>
      <c r="J63" s="21"/>
      <c r="K63" s="21"/>
      <c r="L63" s="21"/>
      <c r="M63" s="21"/>
      <c r="N63" s="21"/>
      <c r="O63" s="21"/>
      <c r="P63" s="47">
        <f t="shared" si="1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>
        <v>7.81</v>
      </c>
      <c r="F64" s="21">
        <v>544.73</v>
      </c>
      <c r="G64" s="21">
        <v>61.59</v>
      </c>
      <c r="H64" s="21"/>
      <c r="I64" s="46"/>
      <c r="J64" s="21"/>
      <c r="K64" s="21"/>
      <c r="L64" s="21"/>
      <c r="M64" s="21"/>
      <c r="N64" s="21"/>
      <c r="O64" s="21"/>
      <c r="P64" s="47">
        <f t="shared" si="1"/>
        <v>614.13</v>
      </c>
    </row>
    <row r="65" s="5" customFormat="1" spans="1:16">
      <c r="A65" s="42"/>
      <c r="B65" s="43" t="s">
        <v>141</v>
      </c>
      <c r="C65" s="33" t="s">
        <v>141</v>
      </c>
      <c r="D65" s="21">
        <v>8679.07</v>
      </c>
      <c r="E65" s="21">
        <v>2071.51</v>
      </c>
      <c r="F65" s="21">
        <v>1978.25</v>
      </c>
      <c r="G65" s="21">
        <v>4618.27</v>
      </c>
      <c r="H65" s="21"/>
      <c r="I65" s="46"/>
      <c r="J65" s="21"/>
      <c r="K65" s="21"/>
      <c r="L65" s="21"/>
      <c r="M65" s="21"/>
      <c r="N65" s="21"/>
      <c r="O65" s="21"/>
      <c r="P65" s="47">
        <f t="shared" si="1"/>
        <v>17347.1</v>
      </c>
    </row>
    <row r="66" s="5" customFormat="1" spans="1:16">
      <c r="A66" s="42"/>
      <c r="B66" s="43" t="s">
        <v>142</v>
      </c>
      <c r="C66" s="33" t="s">
        <v>142</v>
      </c>
      <c r="D66" s="21"/>
      <c r="E66" s="21" t="s">
        <v>225</v>
      </c>
      <c r="F66" s="21">
        <v>0</v>
      </c>
      <c r="G66" s="21">
        <v>0</v>
      </c>
      <c r="H66" s="21"/>
      <c r="I66" s="46"/>
      <c r="J66" s="21"/>
      <c r="K66" s="21"/>
      <c r="L66" s="21"/>
      <c r="M66" s="21"/>
      <c r="N66" s="21"/>
      <c r="O66" s="21"/>
      <c r="P66" s="47">
        <f t="shared" si="1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 t="s">
        <v>225</v>
      </c>
      <c r="F67" s="21">
        <v>0</v>
      </c>
      <c r="G67" s="21">
        <v>0</v>
      </c>
      <c r="H67" s="21"/>
      <c r="I67" s="46"/>
      <c r="J67" s="21"/>
      <c r="K67" s="21"/>
      <c r="L67" s="21"/>
      <c r="M67" s="21"/>
      <c r="N67" s="21"/>
      <c r="O67" s="21"/>
      <c r="P67" s="47">
        <f t="shared" si="1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 t="s">
        <v>225</v>
      </c>
      <c r="F68" s="21">
        <v>0</v>
      </c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1"/>
        <v>0</v>
      </c>
    </row>
    <row r="69" s="5" customFormat="1" spans="1:16">
      <c r="A69" s="42"/>
      <c r="B69" s="39"/>
      <c r="C69" s="33" t="s">
        <v>146</v>
      </c>
      <c r="D69" s="21"/>
      <c r="E69" s="21" t="s">
        <v>225</v>
      </c>
      <c r="F69" s="21">
        <v>0</v>
      </c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1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>
        <v>114.15</v>
      </c>
      <c r="F70" s="21">
        <v>543.28</v>
      </c>
      <c r="G70" s="21">
        <v>113.21</v>
      </c>
      <c r="H70" s="21"/>
      <c r="I70" s="46"/>
      <c r="J70" s="21"/>
      <c r="K70" s="21"/>
      <c r="L70" s="21"/>
      <c r="M70" s="21"/>
      <c r="N70" s="21"/>
      <c r="O70" s="21"/>
      <c r="P70" s="47">
        <f t="shared" ref="P70:P92" si="2">SUM(D70:O70)</f>
        <v>770.64</v>
      </c>
    </row>
    <row r="71" s="5" customFormat="1" spans="1:16">
      <c r="A71" s="42"/>
      <c r="B71" s="40" t="s">
        <v>148</v>
      </c>
      <c r="C71" s="33" t="s">
        <v>148</v>
      </c>
      <c r="D71" s="21"/>
      <c r="E71" s="21" t="s">
        <v>225</v>
      </c>
      <c r="F71" s="21">
        <v>0</v>
      </c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si="2"/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 t="s">
        <v>225</v>
      </c>
      <c r="F72" s="21">
        <v>0</v>
      </c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2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 t="s">
        <v>225</v>
      </c>
      <c r="F73" s="21">
        <v>0</v>
      </c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2"/>
        <v>0</v>
      </c>
    </row>
    <row r="74" s="5" customFormat="1" spans="1:16">
      <c r="A74" s="42"/>
      <c r="B74" s="39"/>
      <c r="C74" s="49" t="s">
        <v>152</v>
      </c>
      <c r="D74" s="21"/>
      <c r="E74" s="21" t="s">
        <v>225</v>
      </c>
      <c r="F74" s="21">
        <v>0</v>
      </c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2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 t="s">
        <v>225</v>
      </c>
      <c r="F75" s="21">
        <v>0</v>
      </c>
      <c r="G75" s="21">
        <v>0</v>
      </c>
      <c r="H75" s="21"/>
      <c r="I75" s="46"/>
      <c r="J75" s="21"/>
      <c r="K75" s="21"/>
      <c r="L75" s="21"/>
      <c r="M75" s="21"/>
      <c r="N75" s="21"/>
      <c r="O75" s="21"/>
      <c r="P75" s="47">
        <f t="shared" si="2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 t="s">
        <v>225</v>
      </c>
      <c r="F76" s="21">
        <v>0</v>
      </c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2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 t="s">
        <v>225</v>
      </c>
      <c r="F77" s="21">
        <v>0</v>
      </c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2"/>
        <v>0</v>
      </c>
    </row>
    <row r="78" s="5" customFormat="1" spans="1:16">
      <c r="A78" s="50"/>
      <c r="B78" s="23"/>
      <c r="C78" s="49" t="s">
        <v>158</v>
      </c>
      <c r="D78" s="21"/>
      <c r="E78" s="21" t="s">
        <v>225</v>
      </c>
      <c r="F78" s="21">
        <v>0</v>
      </c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2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 t="s">
        <v>225</v>
      </c>
      <c r="F79" s="21">
        <v>0</v>
      </c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2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>
        <v>84.05</v>
      </c>
      <c r="E80" s="21">
        <v>534.33</v>
      </c>
      <c r="F80" s="21">
        <v>1138.15</v>
      </c>
      <c r="G80" s="21">
        <v>194.85</v>
      </c>
      <c r="H80" s="21"/>
      <c r="I80" s="46"/>
      <c r="J80" s="21"/>
      <c r="K80" s="21"/>
      <c r="L80" s="21"/>
      <c r="M80" s="21"/>
      <c r="N80" s="21"/>
      <c r="O80" s="21"/>
      <c r="P80" s="47">
        <f t="shared" si="2"/>
        <v>1951.38</v>
      </c>
    </row>
    <row r="81" s="5" customFormat="1" spans="1:16">
      <c r="A81" s="51"/>
      <c r="B81" s="26" t="s">
        <v>162</v>
      </c>
      <c r="C81" s="25" t="s">
        <v>162</v>
      </c>
      <c r="D81" s="21"/>
      <c r="E81" s="21" t="s">
        <v>225</v>
      </c>
      <c r="F81" s="21">
        <v>0</v>
      </c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2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 t="s">
        <v>225</v>
      </c>
      <c r="F82" s="21">
        <v>0</v>
      </c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2"/>
        <v>0</v>
      </c>
    </row>
    <row r="83" s="5" customFormat="1" spans="1:16">
      <c r="A83" s="51"/>
      <c r="B83" s="24"/>
      <c r="C83" s="25" t="s">
        <v>165</v>
      </c>
      <c r="D83" s="21"/>
      <c r="E83" s="21" t="s">
        <v>225</v>
      </c>
      <c r="F83" s="21">
        <v>0</v>
      </c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2"/>
        <v>0</v>
      </c>
    </row>
    <row r="84" s="5" customFormat="1" spans="1:16">
      <c r="A84" s="51"/>
      <c r="B84" s="23"/>
      <c r="C84" s="25" t="s">
        <v>166</v>
      </c>
      <c r="D84" s="21"/>
      <c r="E84" s="21" t="s">
        <v>225</v>
      </c>
      <c r="F84" s="21">
        <v>0</v>
      </c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2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 t="s">
        <v>225</v>
      </c>
      <c r="F85" s="21">
        <v>0</v>
      </c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2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 t="s">
        <v>225</v>
      </c>
      <c r="F86" s="21">
        <v>0</v>
      </c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2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 t="s">
        <v>225</v>
      </c>
      <c r="F87" s="21">
        <v>0</v>
      </c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2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 t="s">
        <v>225</v>
      </c>
      <c r="F88" s="21">
        <v>0</v>
      </c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2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 t="s">
        <v>225</v>
      </c>
      <c r="F89" s="21">
        <v>0</v>
      </c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2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 t="s">
        <v>225</v>
      </c>
      <c r="F90" s="21">
        <v>0</v>
      </c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2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 t="s">
        <v>225</v>
      </c>
      <c r="F91" s="21">
        <v>0</v>
      </c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2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 t="s">
        <v>225</v>
      </c>
      <c r="F92" s="21">
        <v>0</v>
      </c>
      <c r="G92" s="21">
        <v>0</v>
      </c>
      <c r="H92" s="21"/>
      <c r="I92" s="46"/>
      <c r="J92" s="21"/>
      <c r="K92" s="21"/>
      <c r="L92" s="21"/>
      <c r="M92" s="21"/>
      <c r="N92" s="21"/>
      <c r="O92" s="21"/>
      <c r="P92" s="47">
        <f t="shared" si="2"/>
        <v>0</v>
      </c>
    </row>
    <row r="93" s="6" customFormat="1" spans="1:16">
      <c r="A93" s="57" t="s">
        <v>12</v>
      </c>
      <c r="B93" s="57"/>
      <c r="C93" s="57"/>
      <c r="D93" s="58">
        <f t="shared" ref="D93:P93" si="3">SUM(D6:D92)</f>
        <v>39571.91</v>
      </c>
      <c r="E93" s="58">
        <f t="shared" si="3"/>
        <v>80828.45</v>
      </c>
      <c r="F93" s="58">
        <f t="shared" si="3"/>
        <v>121936.66</v>
      </c>
      <c r="G93" s="58">
        <f t="shared" si="3"/>
        <v>158310.76</v>
      </c>
      <c r="H93" s="58">
        <f t="shared" si="3"/>
        <v>0</v>
      </c>
      <c r="I93" s="74">
        <f t="shared" si="3"/>
        <v>0</v>
      </c>
      <c r="J93" s="74">
        <f t="shared" si="3"/>
        <v>0</v>
      </c>
      <c r="K93" s="58">
        <f t="shared" si="3"/>
        <v>0</v>
      </c>
      <c r="L93" s="58">
        <f t="shared" si="3"/>
        <v>0</v>
      </c>
      <c r="M93" s="58">
        <f t="shared" si="3"/>
        <v>0</v>
      </c>
      <c r="N93" s="58">
        <f t="shared" si="3"/>
        <v>0</v>
      </c>
      <c r="O93" s="58">
        <f t="shared" si="3"/>
        <v>0</v>
      </c>
      <c r="P93" s="58">
        <f t="shared" si="3"/>
        <v>400647.78</v>
      </c>
    </row>
    <row r="94" s="7" customFormat="1" ht="12.75" spans="1:16">
      <c r="A94" s="61" t="s">
        <v>244</v>
      </c>
      <c r="B94" s="62"/>
      <c r="C94" s="63"/>
      <c r="D94" s="100"/>
      <c r="E94" s="100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47">
        <f>SUM(D94:O94)</f>
        <v>0</v>
      </c>
    </row>
    <row r="95" s="7" customFormat="1" ht="12.75" spans="1:16">
      <c r="A95" s="61" t="s">
        <v>245</v>
      </c>
      <c r="B95" s="62"/>
      <c r="C95" s="63"/>
      <c r="D95" s="100">
        <f>D93</f>
        <v>39571.91</v>
      </c>
      <c r="E95" s="100">
        <f t="shared" ref="E95:O95" si="4">E93</f>
        <v>80828.45</v>
      </c>
      <c r="F95" s="100">
        <f t="shared" si="4"/>
        <v>121936.66</v>
      </c>
      <c r="G95" s="100">
        <f t="shared" si="4"/>
        <v>158310.76</v>
      </c>
      <c r="H95" s="100">
        <f t="shared" si="4"/>
        <v>0</v>
      </c>
      <c r="I95" s="100">
        <f t="shared" si="4"/>
        <v>0</v>
      </c>
      <c r="J95" s="100">
        <f t="shared" si="4"/>
        <v>0</v>
      </c>
      <c r="K95" s="100">
        <f t="shared" si="4"/>
        <v>0</v>
      </c>
      <c r="L95" s="100">
        <f t="shared" si="4"/>
        <v>0</v>
      </c>
      <c r="M95" s="100">
        <f t="shared" si="4"/>
        <v>0</v>
      </c>
      <c r="N95" s="100">
        <f t="shared" si="4"/>
        <v>0</v>
      </c>
      <c r="O95" s="100">
        <f t="shared" si="4"/>
        <v>0</v>
      </c>
      <c r="P95" s="47">
        <f>SUM(D95:O95)</f>
        <v>400647.78</v>
      </c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47">
        <f>SUM(D96:O96)</f>
        <v>0</v>
      </c>
    </row>
    <row r="97" s="7" customFormat="1" ht="12.75" spans="1:16">
      <c r="A97" s="61" t="s">
        <v>180</v>
      </c>
      <c r="B97" s="62"/>
      <c r="C97" s="63"/>
      <c r="D97" s="301"/>
      <c r="E97" s="301"/>
      <c r="F97" s="301"/>
      <c r="G97" s="295"/>
      <c r="H97" s="295"/>
      <c r="I97" s="295"/>
      <c r="J97" s="295"/>
      <c r="K97" s="295"/>
      <c r="L97" s="295"/>
      <c r="M97" s="295"/>
      <c r="N97" s="295"/>
      <c r="O97" s="295"/>
      <c r="P97" s="47">
        <f>SUM(D97:O97)</f>
        <v>0</v>
      </c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>
        <f>G93-G94-G95-G96-G97</f>
        <v>0</v>
      </c>
    </row>
    <row r="100" spans="4:16">
      <c r="D100" s="90" t="str">
        <f>IF(SUM(D94:D98)=D93,"ok","no")</f>
        <v>ok</v>
      </c>
      <c r="E100" s="90" t="str">
        <f t="shared" ref="E100:P100" si="5">IF(SUM(E94:E98)=E93,"ok","no")</f>
        <v>ok</v>
      </c>
      <c r="F100" s="90" t="str">
        <f t="shared" si="5"/>
        <v>ok</v>
      </c>
      <c r="G100" s="90" t="str">
        <f t="shared" si="5"/>
        <v>ok</v>
      </c>
      <c r="H100" s="90" t="str">
        <f t="shared" si="5"/>
        <v>ok</v>
      </c>
      <c r="I100" s="90" t="str">
        <f t="shared" si="5"/>
        <v>ok</v>
      </c>
      <c r="J100" s="90" t="str">
        <f t="shared" si="5"/>
        <v>ok</v>
      </c>
      <c r="K100" s="90" t="str">
        <f t="shared" si="5"/>
        <v>ok</v>
      </c>
      <c r="L100" s="90" t="str">
        <f t="shared" si="5"/>
        <v>ok</v>
      </c>
      <c r="M100" s="90" t="str">
        <f t="shared" si="5"/>
        <v>ok</v>
      </c>
      <c r="N100" s="90" t="str">
        <f t="shared" si="5"/>
        <v>ok</v>
      </c>
      <c r="O100" s="90" t="str">
        <f t="shared" si="5"/>
        <v>ok</v>
      </c>
      <c r="P100" s="90" t="str">
        <f t="shared" si="5"/>
        <v>ok</v>
      </c>
    </row>
    <row r="102" spans="4:16">
      <c r="D102" s="68" t="b">
        <f>D93='G-宜春天赐'!D91</f>
        <v>1</v>
      </c>
      <c r="E102" s="68" t="b">
        <f>E93='G-宜春天赐'!E91</f>
        <v>1</v>
      </c>
      <c r="F102" s="68" t="b">
        <f>F93='G-宜春天赐'!F91</f>
        <v>1</v>
      </c>
      <c r="G102" s="68" t="b">
        <f>G93='G-宜春天赐'!G91</f>
        <v>1</v>
      </c>
      <c r="H102" s="68" t="b">
        <f>H93='G-张家港吉慕特'!H91</f>
        <v>1</v>
      </c>
      <c r="I102" s="68" t="b">
        <f>I93='G-张家港吉慕特'!I91</f>
        <v>1</v>
      </c>
      <c r="J102" s="68" t="b">
        <f>J93='G-张家港吉慕特'!J91</f>
        <v>1</v>
      </c>
      <c r="K102" s="68" t="b">
        <f>K93='G-张家港吉慕特'!K91</f>
        <v>1</v>
      </c>
      <c r="L102" s="68" t="e">
        <f>L93='G-张家港吉慕特'!#REF!</f>
        <v>#REF!</v>
      </c>
      <c r="M102" s="68" t="b">
        <f>M93='G-宜春天赐'!M91</f>
        <v>1</v>
      </c>
      <c r="N102" s="68" t="b">
        <f>N93='G-宜春天赐'!N91</f>
        <v>1</v>
      </c>
      <c r="O102" s="68" t="b">
        <f>O93='G-宜春天赐'!O91</f>
        <v>1</v>
      </c>
      <c r="P102" s="68" t="b">
        <f>P93='G-张家港吉慕特'!P91</f>
        <v>0</v>
      </c>
    </row>
  </sheetData>
  <autoFilter ref="A5:Q97">
    <extLst/>
  </autoFilter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E111" sqref="E111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268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 t="shared" ref="D93:P93" si="2">SUM(D6:D92)</f>
        <v>0</v>
      </c>
      <c r="E93" s="58">
        <f t="shared" si="2"/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2.75" spans="1:16">
      <c r="A94" s="61" t="s">
        <v>244</v>
      </c>
      <c r="B94" s="62"/>
      <c r="C94" s="63"/>
      <c r="D94" s="100"/>
      <c r="E94" s="100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47">
        <f t="shared" si="1"/>
        <v>0</v>
      </c>
    </row>
    <row r="95" s="7" customFormat="1" ht="12.75" spans="1:16">
      <c r="A95" s="61" t="s">
        <v>245</v>
      </c>
      <c r="B95" s="62"/>
      <c r="C95" s="63"/>
      <c r="D95" s="100"/>
      <c r="E95" s="100"/>
      <c r="F95" s="293"/>
      <c r="G95" s="293"/>
      <c r="H95" s="293"/>
      <c r="I95" s="46"/>
      <c r="J95" s="293"/>
      <c r="K95" s="293"/>
      <c r="L95" s="293"/>
      <c r="M95" s="293"/>
      <c r="N95" s="293"/>
      <c r="O95" s="293"/>
      <c r="P95" s="47">
        <f t="shared" si="1"/>
        <v>0</v>
      </c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47">
        <f t="shared" si="1"/>
        <v>0</v>
      </c>
    </row>
    <row r="97" s="7" customFormat="1" ht="12.75" spans="1:16">
      <c r="A97" s="61" t="s">
        <v>180</v>
      </c>
      <c r="B97" s="62"/>
      <c r="C97" s="63"/>
      <c r="D97" s="301"/>
      <c r="E97" s="301"/>
      <c r="F97" s="293"/>
      <c r="G97" s="295"/>
      <c r="H97" s="295"/>
      <c r="I97" s="295"/>
      <c r="J97" s="295"/>
      <c r="K97" s="295"/>
      <c r="L97" s="295"/>
      <c r="M97" s="295"/>
      <c r="N97" s="295"/>
      <c r="O97" s="295"/>
      <c r="P97" s="47">
        <f t="shared" si="1"/>
        <v>0</v>
      </c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/>
    </row>
    <row r="100" spans="4:16">
      <c r="D100" s="90" t="str">
        <f>IF(SUM(D94:D98)=D93,"ok","no")</f>
        <v>ok</v>
      </c>
      <c r="E100" s="90" t="str">
        <f t="shared" ref="E100:P100" si="3">IF(SUM(E94:E98)=E93,"ok","no")</f>
        <v>ok</v>
      </c>
      <c r="F100" s="90" t="str">
        <f t="shared" si="3"/>
        <v>ok</v>
      </c>
      <c r="G100" s="90" t="str">
        <f t="shared" si="3"/>
        <v>ok</v>
      </c>
      <c r="H100" s="90" t="str">
        <f t="shared" si="3"/>
        <v>ok</v>
      </c>
      <c r="I100" s="90" t="str">
        <f t="shared" si="3"/>
        <v>ok</v>
      </c>
      <c r="J100" s="90" t="str">
        <f t="shared" si="3"/>
        <v>ok</v>
      </c>
      <c r="K100" s="90" t="str">
        <f t="shared" si="3"/>
        <v>ok</v>
      </c>
      <c r="L100" s="90" t="str">
        <f t="shared" si="3"/>
        <v>ok</v>
      </c>
      <c r="M100" s="90" t="str">
        <f t="shared" si="3"/>
        <v>ok</v>
      </c>
      <c r="N100" s="90" t="str">
        <f t="shared" si="3"/>
        <v>ok</v>
      </c>
      <c r="O100" s="90" t="str">
        <f t="shared" si="3"/>
        <v>ok</v>
      </c>
      <c r="P100" s="90" t="str">
        <f t="shared" si="3"/>
        <v>ok</v>
      </c>
    </row>
    <row r="102" spans="4:16">
      <c r="D102" s="68" t="b">
        <f>D93='G-张家港吉慕特'!D91</f>
        <v>1</v>
      </c>
      <c r="E102" s="68" t="b">
        <f>E93='G-张家港吉慕特'!E91</f>
        <v>1</v>
      </c>
      <c r="F102" s="68" t="b">
        <f>F93='G-张家港吉慕特'!F91</f>
        <v>1</v>
      </c>
      <c r="G102" s="68" t="b">
        <f>G93='G-上海吉慕特'!G91</f>
        <v>1</v>
      </c>
      <c r="H102" s="68" t="b">
        <f>H93='G-张家港吉慕特'!H91</f>
        <v>1</v>
      </c>
      <c r="I102" s="68" t="b">
        <f>I93='G-张家港吉慕特'!I91</f>
        <v>1</v>
      </c>
      <c r="J102" s="68" t="b">
        <f>J93='G-张家港吉慕特'!J91</f>
        <v>1</v>
      </c>
      <c r="K102" s="68" t="b">
        <f>K93='G-张家港吉慕特'!K91</f>
        <v>1</v>
      </c>
      <c r="L102" s="68" t="e">
        <f>L93='G-张家港吉慕特'!#REF!</f>
        <v>#REF!</v>
      </c>
      <c r="M102" s="68" t="b">
        <f>M93='G-张家港吉慕特'!M91</f>
        <v>1</v>
      </c>
      <c r="N102" s="68" t="b">
        <f>N93='G-张家港吉慕特'!N91</f>
        <v>1</v>
      </c>
      <c r="O102" s="68" t="b">
        <f>O93='G-张家港吉慕特'!O91</f>
        <v>1</v>
      </c>
      <c r="P102" s="68" t="b">
        <f>P93='G-张家港吉慕特'!P91</f>
        <v>1</v>
      </c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3" activePane="bottomRight" state="frozen"/>
      <selection/>
      <selection pane="topRight"/>
      <selection pane="bottomLeft"/>
      <selection pane="bottomRight" activeCell="G105" sqref="G105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6" width="11.5" style="10" customWidth="1"/>
    <col min="7" max="7" width="15.5" style="10" customWidth="1"/>
    <col min="8" max="8" width="14.75" style="10" customWidth="1"/>
    <col min="9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269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302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302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302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302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302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302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302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302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302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302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302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302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302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302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302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302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302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50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302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50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302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303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303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303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303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303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303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303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303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303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303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303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303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303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303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304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303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303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303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303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303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303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303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303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303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303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303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303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303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303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303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303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303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303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303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303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303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303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303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303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303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303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303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303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303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303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303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303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303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303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303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303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303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303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303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303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303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303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303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303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 t="shared" ref="D93:P93" si="2">SUM(D6:D92)</f>
        <v>0</v>
      </c>
      <c r="E93" s="58">
        <f t="shared" si="2"/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2.75" spans="1:16">
      <c r="A94" s="61" t="s">
        <v>244</v>
      </c>
      <c r="B94" s="62"/>
      <c r="C94" s="63"/>
      <c r="D94" s="100"/>
      <c r="E94" s="100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47">
        <f t="shared" si="1"/>
        <v>0</v>
      </c>
    </row>
    <row r="95" s="7" customFormat="1" ht="12.75" spans="1:16">
      <c r="A95" s="61" t="s">
        <v>245</v>
      </c>
      <c r="B95" s="62"/>
      <c r="C95" s="63"/>
      <c r="D95" s="100"/>
      <c r="E95" s="100"/>
      <c r="F95" s="293"/>
      <c r="G95" s="293"/>
      <c r="H95" s="293"/>
      <c r="I95" s="46"/>
      <c r="J95" s="293"/>
      <c r="K95" s="293"/>
      <c r="L95" s="293"/>
      <c r="M95" s="293"/>
      <c r="N95" s="293"/>
      <c r="O95" s="293"/>
      <c r="P95" s="47">
        <f t="shared" si="1"/>
        <v>0</v>
      </c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47">
        <f t="shared" si="1"/>
        <v>0</v>
      </c>
    </row>
    <row r="97" s="7" customFormat="1" ht="12.75" spans="1:16">
      <c r="A97" s="61" t="s">
        <v>180</v>
      </c>
      <c r="B97" s="62"/>
      <c r="C97" s="63"/>
      <c r="D97" s="301"/>
      <c r="E97" s="301"/>
      <c r="F97" s="295"/>
      <c r="G97" s="295">
        <f>G93</f>
        <v>0</v>
      </c>
      <c r="H97" s="295"/>
      <c r="I97" s="295"/>
      <c r="J97" s="295"/>
      <c r="K97" s="295"/>
      <c r="L97" s="295"/>
      <c r="M97" s="295"/>
      <c r="N97" s="295"/>
      <c r="O97" s="295"/>
      <c r="P97" s="47">
        <f t="shared" si="1"/>
        <v>0</v>
      </c>
    </row>
    <row r="98" s="7" customFormat="1" ht="12.75" spans="1:16">
      <c r="A98" s="296"/>
      <c r="B98" s="297"/>
      <c r="C98" s="298"/>
      <c r="D98" s="294"/>
      <c r="E98" s="293"/>
      <c r="F98" s="293"/>
      <c r="G98" s="295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>
        <f>G93-G94-G95-G96-G97</f>
        <v>0</v>
      </c>
    </row>
    <row r="100" spans="4:16">
      <c r="D100" s="90" t="str">
        <f>IF(SUM(D94:D98)=D93,"ok","no")</f>
        <v>ok</v>
      </c>
      <c r="E100" s="90" t="str">
        <f t="shared" ref="E100:P100" si="3">IF(SUM(E94:E98)=E93,"ok","no")</f>
        <v>ok</v>
      </c>
      <c r="F100" s="90" t="str">
        <f t="shared" si="3"/>
        <v>ok</v>
      </c>
      <c r="G100" s="90" t="str">
        <f t="shared" si="3"/>
        <v>ok</v>
      </c>
      <c r="H100" s="90" t="str">
        <f t="shared" si="3"/>
        <v>ok</v>
      </c>
      <c r="I100" s="90" t="str">
        <f t="shared" si="3"/>
        <v>ok</v>
      </c>
      <c r="J100" s="90" t="str">
        <f t="shared" si="3"/>
        <v>ok</v>
      </c>
      <c r="K100" s="90" t="str">
        <f t="shared" si="3"/>
        <v>ok</v>
      </c>
      <c r="L100" s="90" t="str">
        <f t="shared" si="3"/>
        <v>ok</v>
      </c>
      <c r="M100" s="90" t="str">
        <f t="shared" si="3"/>
        <v>ok</v>
      </c>
      <c r="N100" s="90" t="str">
        <f t="shared" si="3"/>
        <v>ok</v>
      </c>
      <c r="O100" s="90" t="str">
        <f t="shared" si="3"/>
        <v>ok</v>
      </c>
      <c r="P100" s="90" t="str">
        <f t="shared" si="3"/>
        <v>ok</v>
      </c>
    </row>
    <row r="102" spans="4:16">
      <c r="D102" s="68" t="b">
        <f>D93='G-张家港吉慕特'!D91</f>
        <v>1</v>
      </c>
      <c r="E102" s="68" t="b">
        <f>E93='G-张家港吉慕特'!E91</f>
        <v>1</v>
      </c>
      <c r="F102" s="68" t="b">
        <f>F93='G-张家港吉慕特'!F91</f>
        <v>1</v>
      </c>
      <c r="G102" s="68" t="b">
        <f>G93='G-张家港吉慕特'!G91</f>
        <v>1</v>
      </c>
      <c r="H102" s="68" t="b">
        <f>H93='G-张家港吉慕特'!H91</f>
        <v>1</v>
      </c>
      <c r="I102" s="68" t="b">
        <f>I93='G-张家港吉慕特'!I91</f>
        <v>1</v>
      </c>
      <c r="J102" s="68" t="b">
        <f>J93='G-张家港吉慕特'!J91</f>
        <v>1</v>
      </c>
      <c r="K102" s="68" t="b">
        <f>K93='G-张家港吉慕特'!K91</f>
        <v>1</v>
      </c>
      <c r="L102" s="68" t="b">
        <f>L93='G-张家港吉慕特'!L91</f>
        <v>1</v>
      </c>
      <c r="M102" s="68" t="b">
        <f>M93='G-张家港吉慕特'!M91</f>
        <v>1</v>
      </c>
      <c r="N102" s="68" t="b">
        <f>N93='G-张家港吉慕特'!N91</f>
        <v>1</v>
      </c>
      <c r="O102" s="68" t="b">
        <f>O93='G-张家港吉慕特'!O91</f>
        <v>1</v>
      </c>
      <c r="P102" s="68" t="b">
        <f>P93='G-张家港吉慕特'!P91</f>
        <v>1</v>
      </c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H114" sqref="H114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12" width="11.5" style="10" customWidth="1"/>
    <col min="13" max="15" width="12.75" style="10" customWidth="1"/>
    <col min="16" max="16" width="13" style="10" customWidth="1"/>
    <col min="17" max="17" width="18.25" style="10" customWidth="1"/>
    <col min="18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270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 t="shared" ref="D93:P93" si="2">SUM(D6:D92)</f>
        <v>0</v>
      </c>
      <c r="E93" s="58">
        <f t="shared" si="2"/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2.75" spans="1:16">
      <c r="A94" s="61" t="s">
        <v>244</v>
      </c>
      <c r="B94" s="62"/>
      <c r="C94" s="63"/>
      <c r="D94" s="100"/>
      <c r="E94" s="235"/>
      <c r="F94" s="293"/>
      <c r="G94" s="293"/>
      <c r="H94" s="293"/>
      <c r="I94" s="46"/>
      <c r="J94" s="293"/>
      <c r="K94" s="293"/>
      <c r="L94" s="293"/>
      <c r="M94" s="293"/>
      <c r="N94" s="236"/>
      <c r="O94" s="293"/>
      <c r="P94" s="47">
        <f t="shared" si="1"/>
        <v>0</v>
      </c>
    </row>
    <row r="95" s="7" customFormat="1" ht="12.75" spans="1:16">
      <c r="A95" s="61" t="s">
        <v>245</v>
      </c>
      <c r="B95" s="62"/>
      <c r="C95" s="63"/>
      <c r="D95" s="100"/>
      <c r="E95" s="235"/>
      <c r="F95" s="293"/>
      <c r="G95" s="293"/>
      <c r="H95" s="293"/>
      <c r="I95" s="46"/>
      <c r="J95" s="293"/>
      <c r="K95" s="293"/>
      <c r="L95" s="293"/>
      <c r="M95" s="293"/>
      <c r="N95" s="236"/>
      <c r="O95" s="293"/>
      <c r="P95" s="47">
        <f t="shared" si="1"/>
        <v>0</v>
      </c>
    </row>
    <row r="96" s="7" customFormat="1" ht="12.75" spans="1:16">
      <c r="A96" s="61" t="s">
        <v>179</v>
      </c>
      <c r="B96" s="62"/>
      <c r="C96" s="63"/>
      <c r="D96" s="294"/>
      <c r="E96" s="236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47">
        <f t="shared" si="1"/>
        <v>0</v>
      </c>
    </row>
    <row r="97" s="7" customFormat="1" ht="12.75" spans="1:16">
      <c r="A97" s="61" t="s">
        <v>180</v>
      </c>
      <c r="B97" s="62"/>
      <c r="C97" s="63"/>
      <c r="D97" s="294"/>
      <c r="E97" s="293"/>
      <c r="F97" s="293"/>
      <c r="G97" s="293"/>
      <c r="H97" s="293"/>
      <c r="I97" s="295"/>
      <c r="J97" s="295"/>
      <c r="K97" s="295"/>
      <c r="L97" s="295"/>
      <c r="M97" s="293"/>
      <c r="N97" s="293"/>
      <c r="O97" s="293"/>
      <c r="P97" s="47">
        <f t="shared" si="1"/>
        <v>0</v>
      </c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>
        <f>G93-G94-G95-G96-G97</f>
        <v>0</v>
      </c>
    </row>
    <row r="100" spans="4:16">
      <c r="D100" s="90" t="str">
        <f>IF(SUM(D94:D98)=D93,"ok","no")</f>
        <v>ok</v>
      </c>
      <c r="E100" s="90" t="str">
        <f t="shared" ref="E100:P100" si="3">IF(SUM(E94:E98)=E93,"ok","no")</f>
        <v>ok</v>
      </c>
      <c r="F100" s="90" t="str">
        <f t="shared" si="3"/>
        <v>ok</v>
      </c>
      <c r="G100" s="90" t="str">
        <f t="shared" si="3"/>
        <v>ok</v>
      </c>
      <c r="H100" s="90" t="str">
        <f t="shared" si="3"/>
        <v>ok</v>
      </c>
      <c r="I100" s="90" t="str">
        <f t="shared" si="3"/>
        <v>ok</v>
      </c>
      <c r="J100" s="90" t="str">
        <f t="shared" si="3"/>
        <v>ok</v>
      </c>
      <c r="K100" s="90" t="str">
        <f t="shared" si="3"/>
        <v>ok</v>
      </c>
      <c r="L100" s="90" t="str">
        <f t="shared" si="3"/>
        <v>ok</v>
      </c>
      <c r="M100" s="90" t="str">
        <f t="shared" si="3"/>
        <v>ok</v>
      </c>
      <c r="N100" s="90" t="str">
        <f t="shared" si="3"/>
        <v>ok</v>
      </c>
      <c r="O100" s="90" t="str">
        <f t="shared" si="3"/>
        <v>ok</v>
      </c>
      <c r="P100" s="90" t="str">
        <f t="shared" si="3"/>
        <v>ok</v>
      </c>
    </row>
    <row r="102" spans="4:16">
      <c r="D102" s="68" t="b">
        <f>D93='G-创新中心'!D91</f>
        <v>1</v>
      </c>
      <c r="E102" s="68" t="b">
        <f>E93='G-创新中心'!E91</f>
        <v>1</v>
      </c>
      <c r="F102" s="68" t="b">
        <f>F93='G-创新中心'!F91</f>
        <v>1</v>
      </c>
      <c r="G102" s="68" t="b">
        <f>G93='G-创新中心'!G91</f>
        <v>1</v>
      </c>
      <c r="H102" s="68" t="b">
        <f>H93='G-创新中心'!H91</f>
        <v>1</v>
      </c>
      <c r="I102" s="68" t="b">
        <f>I93='G-创新中心'!I91</f>
        <v>1</v>
      </c>
      <c r="J102" s="68" t="b">
        <f>J93='G-创新中心'!J91</f>
        <v>1</v>
      </c>
      <c r="K102" s="68" t="b">
        <f>K93='G-创新中心'!K91</f>
        <v>1</v>
      </c>
      <c r="L102" s="68" t="b">
        <f>L93='G-创新中心'!L91</f>
        <v>1</v>
      </c>
      <c r="M102" s="68" t="b">
        <f>M93='G-创新中心'!M91</f>
        <v>1</v>
      </c>
      <c r="N102" s="68" t="b">
        <f>N93='G-创新中心'!N91</f>
        <v>1</v>
      </c>
      <c r="O102" s="68" t="b">
        <f>O93='G-创新中心'!O91</f>
        <v>1</v>
      </c>
      <c r="P102" s="68">
        <f>P93-'G-高新'!P91</f>
        <v>-16058847.77</v>
      </c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1"/>
  <sheetViews>
    <sheetView workbookViewId="0">
      <pane xSplit="3" ySplit="5" topLeftCell="D88" activePane="bottomRight" state="frozen"/>
      <selection/>
      <selection pane="topRight"/>
      <selection pane="bottomLeft"/>
      <selection pane="bottomRight" activeCell="K113" sqref="K11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271</v>
      </c>
      <c r="B1" s="69"/>
      <c r="C1" s="69"/>
      <c r="D1" s="69"/>
    </row>
    <row r="2" s="2" customFormat="1" spans="1:1">
      <c r="A2" s="2" t="s">
        <v>64</v>
      </c>
    </row>
    <row r="3" s="3" customFormat="1" ht="13.5" spans="1:6">
      <c r="A3" s="12" t="str">
        <f>'G-高新'!A3</f>
        <v>编制期间：2020年4月</v>
      </c>
      <c r="F3" s="3" t="s">
        <v>272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>
        <v>5066.69</v>
      </c>
      <c r="E46" s="21">
        <v>5066.69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47">
        <f t="shared" si="0"/>
        <v>10133.38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5066.69</v>
      </c>
      <c r="E93" s="58">
        <f t="shared" ref="E93:P93" si="2">SUM(E6:E92)</f>
        <v>5066.69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10133.38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 t="s">
        <v>214</v>
      </c>
      <c r="H94" s="293"/>
      <c r="I94" s="293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100">
        <f>D93</f>
        <v>5066.69</v>
      </c>
      <c r="E95" s="100">
        <f t="shared" ref="E95:O95" si="3">E93</f>
        <v>5066.69</v>
      </c>
      <c r="F95" s="100">
        <f t="shared" si="3"/>
        <v>0</v>
      </c>
      <c r="G95" s="100">
        <f t="shared" si="3"/>
        <v>0</v>
      </c>
      <c r="H95" s="100">
        <f t="shared" si="3"/>
        <v>0</v>
      </c>
      <c r="I95" s="100">
        <f t="shared" si="3"/>
        <v>0</v>
      </c>
      <c r="J95" s="100">
        <f t="shared" si="3"/>
        <v>0</v>
      </c>
      <c r="K95" s="100">
        <f t="shared" si="3"/>
        <v>0</v>
      </c>
      <c r="L95" s="100">
        <f t="shared" si="3"/>
        <v>0</v>
      </c>
      <c r="M95" s="100">
        <f t="shared" si="3"/>
        <v>0</v>
      </c>
      <c r="N95" s="100">
        <f t="shared" si="3"/>
        <v>0</v>
      </c>
      <c r="O95" s="100">
        <f t="shared" si="3"/>
        <v>0</v>
      </c>
      <c r="P95" s="293"/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 t="s">
        <v>214</v>
      </c>
      <c r="H96" s="293"/>
      <c r="I96" s="293"/>
      <c r="J96" s="293"/>
      <c r="K96" s="293"/>
      <c r="L96" s="293"/>
      <c r="M96" s="293"/>
      <c r="N96" s="293"/>
      <c r="O96" s="293"/>
      <c r="P96" s="293"/>
    </row>
    <row r="97" s="7" customFormat="1" ht="12.75" spans="1:16">
      <c r="A97" s="61" t="s">
        <v>180</v>
      </c>
      <c r="B97" s="62"/>
      <c r="C97" s="63"/>
      <c r="D97" s="294"/>
      <c r="E97" s="293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7" customFormat="1" ht="12.75" spans="1:16">
      <c r="A99" s="296"/>
      <c r="B99" s="297"/>
      <c r="C99" s="298"/>
      <c r="D99" s="294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</row>
    <row r="100" s="7" customFormat="1" ht="12.75" spans="1:16">
      <c r="A100" s="296"/>
      <c r="B100" s="297"/>
      <c r="C100" s="298"/>
      <c r="D100" s="294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</row>
    <row r="101" s="190" customFormat="1" ht="13.5" spans="1:9">
      <c r="A101" s="190" t="s">
        <v>181</v>
      </c>
      <c r="D101" s="190" t="b">
        <f>D93='G-中科'!D91</f>
        <v>1</v>
      </c>
      <c r="E101" s="190" t="b">
        <f>E93='G-中科'!E91</f>
        <v>1</v>
      </c>
      <c r="F101" s="190" t="b">
        <f>F93='G-中科'!F91</f>
        <v>1</v>
      </c>
      <c r="G101" s="190" t="b">
        <f>G93='G-中科'!G91</f>
        <v>1</v>
      </c>
      <c r="H101" s="190" t="b">
        <f>H93='G-中科'!H91</f>
        <v>1</v>
      </c>
      <c r="I101" s="190" t="b">
        <f>I93='G-中科'!I91</f>
        <v>1</v>
      </c>
    </row>
  </sheetData>
  <mergeCells count="39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R105"/>
  <sheetViews>
    <sheetView workbookViewId="0">
      <pane xSplit="3" ySplit="5" topLeftCell="D81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875" style="10" customWidth="1"/>
    <col min="5" max="5" width="11.5" style="10" customWidth="1"/>
    <col min="6" max="6" width="16.125" style="10" customWidth="1"/>
    <col min="7" max="7" width="12.25" style="10" customWidth="1"/>
    <col min="8" max="12" width="11.5" style="10" customWidth="1"/>
    <col min="13" max="13" width="12.75" style="10" customWidth="1"/>
    <col min="14" max="14" width="17" style="10" customWidth="1"/>
    <col min="15" max="15" width="12.75" style="10" customWidth="1"/>
    <col min="16" max="16" width="11.75" style="10" customWidth="1"/>
    <col min="17" max="17" width="20.75" style="10" customWidth="1"/>
    <col min="18" max="18" width="19.5" style="10" customWidth="1"/>
    <col min="19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273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8">
      <c r="A6" s="18" t="s">
        <v>69</v>
      </c>
      <c r="B6" s="19" t="s">
        <v>70</v>
      </c>
      <c r="C6" s="20" t="s">
        <v>70</v>
      </c>
      <c r="D6" s="21">
        <v>1919488.32</v>
      </c>
      <c r="E6" s="21">
        <v>2066162.3</v>
      </c>
      <c r="F6" s="21">
        <v>1859725.97</v>
      </c>
      <c r="G6" s="21">
        <v>1638052.6</v>
      </c>
      <c r="H6" s="21"/>
      <c r="I6" s="21"/>
      <c r="J6" s="21"/>
      <c r="K6" s="46"/>
      <c r="L6" s="21"/>
      <c r="M6" s="21"/>
      <c r="N6" s="21"/>
      <c r="O6" s="21"/>
      <c r="P6" s="47">
        <f>SUM(D6:O6)</f>
        <v>7483429.19</v>
      </c>
      <c r="Q6" s="48"/>
      <c r="R6" s="48"/>
    </row>
    <row r="7" s="5" customFormat="1" spans="1:18">
      <c r="A7" s="22"/>
      <c r="B7" s="23"/>
      <c r="C7" s="20" t="s">
        <v>71</v>
      </c>
      <c r="D7" s="21">
        <v>1441292.95</v>
      </c>
      <c r="E7" s="21">
        <v>250088.13</v>
      </c>
      <c r="F7" s="21">
        <v>247578.99</v>
      </c>
      <c r="G7" s="21">
        <v>220221.5</v>
      </c>
      <c r="H7" s="21"/>
      <c r="I7" s="21"/>
      <c r="J7" s="21"/>
      <c r="K7" s="46"/>
      <c r="L7" s="21"/>
      <c r="M7" s="21"/>
      <c r="N7" s="21"/>
      <c r="O7" s="21"/>
      <c r="P7" s="47">
        <f t="shared" ref="P7:P70" si="0">SUM(D7:O7)</f>
        <v>2159181.57</v>
      </c>
      <c r="R7" s="48"/>
    </row>
    <row r="8" s="5" customFormat="1" spans="1:18">
      <c r="A8" s="22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21"/>
      <c r="J8" s="21"/>
      <c r="K8" s="46"/>
      <c r="L8" s="21"/>
      <c r="M8" s="21"/>
      <c r="N8" s="21"/>
      <c r="O8" s="21"/>
      <c r="P8" s="47">
        <f t="shared" si="0"/>
        <v>0</v>
      </c>
      <c r="R8" s="48"/>
    </row>
    <row r="9" s="5" customFormat="1" spans="1:18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46"/>
      <c r="L9" s="21"/>
      <c r="M9" s="21"/>
      <c r="N9" s="21"/>
      <c r="O9" s="21"/>
      <c r="P9" s="47">
        <f t="shared" si="0"/>
        <v>0</v>
      </c>
      <c r="R9" s="48"/>
    </row>
    <row r="10" s="5" customFormat="1" spans="1:18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46"/>
      <c r="L10" s="21"/>
      <c r="M10" s="21"/>
      <c r="N10" s="21"/>
      <c r="O10" s="21"/>
      <c r="P10" s="47">
        <f t="shared" si="0"/>
        <v>0</v>
      </c>
      <c r="R10" s="48"/>
    </row>
    <row r="11" s="5" customFormat="1" spans="1:18">
      <c r="A11" s="22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21"/>
      <c r="J11" s="21"/>
      <c r="K11" s="46"/>
      <c r="L11" s="21"/>
      <c r="M11" s="21"/>
      <c r="N11" s="21"/>
      <c r="O11" s="21"/>
      <c r="P11" s="47">
        <f t="shared" si="0"/>
        <v>0</v>
      </c>
      <c r="R11" s="48"/>
    </row>
    <row r="12" s="5" customFormat="1" spans="1:18">
      <c r="A12" s="22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21"/>
      <c r="J12" s="21"/>
      <c r="K12" s="46"/>
      <c r="L12" s="21"/>
      <c r="M12" s="21"/>
      <c r="N12" s="21"/>
      <c r="O12" s="21"/>
      <c r="P12" s="47">
        <f t="shared" si="0"/>
        <v>0</v>
      </c>
      <c r="R12" s="48"/>
    </row>
    <row r="13" s="5" customFormat="1" spans="1:18">
      <c r="A13" s="22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21"/>
      <c r="J13" s="21"/>
      <c r="K13" s="46"/>
      <c r="L13" s="21"/>
      <c r="M13" s="21"/>
      <c r="N13" s="21"/>
      <c r="O13" s="21"/>
      <c r="P13" s="47">
        <f t="shared" si="0"/>
        <v>0</v>
      </c>
      <c r="R13" s="48"/>
    </row>
    <row r="14" s="5" customFormat="1" spans="1:18">
      <c r="A14" s="22"/>
      <c r="B14" s="24"/>
      <c r="C14" s="20" t="s">
        <v>79</v>
      </c>
      <c r="D14" s="21">
        <v>1600</v>
      </c>
      <c r="E14" s="21">
        <v>15200</v>
      </c>
      <c r="F14" s="21">
        <v>1800</v>
      </c>
      <c r="G14" s="21">
        <v>3050</v>
      </c>
      <c r="H14" s="21"/>
      <c r="I14" s="21"/>
      <c r="J14" s="21"/>
      <c r="K14" s="46"/>
      <c r="L14" s="21"/>
      <c r="M14" s="21"/>
      <c r="N14" s="21"/>
      <c r="O14" s="21"/>
      <c r="P14" s="47">
        <f t="shared" si="0"/>
        <v>21650</v>
      </c>
      <c r="R14" s="48"/>
    </row>
    <row r="15" s="5" customFormat="1" spans="1:18">
      <c r="A15" s="22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21"/>
      <c r="J15" s="21"/>
      <c r="K15" s="46"/>
      <c r="L15" s="21"/>
      <c r="M15" s="21"/>
      <c r="N15" s="21"/>
      <c r="O15" s="21"/>
      <c r="P15" s="47">
        <f t="shared" si="0"/>
        <v>0</v>
      </c>
      <c r="R15" s="48"/>
    </row>
    <row r="16" s="5" customFormat="1" spans="1:18">
      <c r="A16" s="22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46"/>
      <c r="L16" s="21"/>
      <c r="M16" s="21"/>
      <c r="N16" s="21"/>
      <c r="O16" s="21"/>
      <c r="P16" s="47">
        <f t="shared" si="0"/>
        <v>0</v>
      </c>
      <c r="R16" s="48"/>
    </row>
    <row r="17" s="5" customFormat="1" spans="1:18">
      <c r="A17" s="22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21"/>
      <c r="J17" s="21"/>
      <c r="K17" s="46"/>
      <c r="L17" s="21"/>
      <c r="M17" s="21"/>
      <c r="N17" s="21"/>
      <c r="O17" s="21"/>
      <c r="P17" s="47">
        <f t="shared" si="0"/>
        <v>0</v>
      </c>
      <c r="R17" s="48"/>
    </row>
    <row r="18" s="5" customFormat="1" spans="1:18">
      <c r="A18" s="22"/>
      <c r="B18" s="23"/>
      <c r="C18" s="25" t="s">
        <v>83</v>
      </c>
      <c r="D18" s="21"/>
      <c r="E18" s="21"/>
      <c r="F18" s="21"/>
      <c r="G18" s="21">
        <v>0</v>
      </c>
      <c r="H18" s="21"/>
      <c r="I18" s="21"/>
      <c r="J18" s="21"/>
      <c r="K18" s="46"/>
      <c r="L18" s="21"/>
      <c r="M18" s="21"/>
      <c r="N18" s="21"/>
      <c r="O18" s="21"/>
      <c r="P18" s="47">
        <f t="shared" si="0"/>
        <v>0</v>
      </c>
      <c r="R18" s="48"/>
    </row>
    <row r="19" s="5" customFormat="1" spans="1:18">
      <c r="A19" s="22"/>
      <c r="B19" s="26" t="s">
        <v>84</v>
      </c>
      <c r="C19" s="25" t="s">
        <v>84</v>
      </c>
      <c r="D19" s="21">
        <v>97214</v>
      </c>
      <c r="E19" s="21">
        <v>96734</v>
      </c>
      <c r="F19" s="21">
        <v>95888</v>
      </c>
      <c r="G19" s="21">
        <v>91769</v>
      </c>
      <c r="H19" s="21"/>
      <c r="I19" s="21"/>
      <c r="J19" s="21"/>
      <c r="K19" s="46"/>
      <c r="L19" s="21"/>
      <c r="M19" s="21"/>
      <c r="N19" s="21"/>
      <c r="O19" s="21"/>
      <c r="P19" s="47">
        <f t="shared" si="0"/>
        <v>381605</v>
      </c>
      <c r="R19" s="48"/>
    </row>
    <row r="20" s="5" customFormat="1" spans="1:18">
      <c r="A20" s="22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21"/>
      <c r="J20" s="21"/>
      <c r="K20" s="46"/>
      <c r="L20" s="21"/>
      <c r="M20" s="21"/>
      <c r="N20" s="21"/>
      <c r="O20" s="21"/>
      <c r="P20" s="47">
        <f t="shared" si="0"/>
        <v>0</v>
      </c>
      <c r="R20" s="48"/>
    </row>
    <row r="21" s="5" customFormat="1" spans="1:18">
      <c r="A21" s="22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21"/>
      <c r="J21" s="21"/>
      <c r="K21" s="46"/>
      <c r="L21" s="21"/>
      <c r="M21" s="21"/>
      <c r="N21" s="21"/>
      <c r="O21" s="21"/>
      <c r="P21" s="47">
        <f t="shared" si="0"/>
        <v>0</v>
      </c>
      <c r="R21" s="48"/>
    </row>
    <row r="22" s="5" customFormat="1" spans="1:18">
      <c r="A22" s="22"/>
      <c r="B22" s="19" t="s">
        <v>87</v>
      </c>
      <c r="C22" s="25" t="s">
        <v>88</v>
      </c>
      <c r="D22" s="21">
        <v>81747.52</v>
      </c>
      <c r="E22" s="21">
        <v>81292.8</v>
      </c>
      <c r="F22" s="21">
        <v>-28403.9</v>
      </c>
      <c r="G22" s="21">
        <v>43403.36</v>
      </c>
      <c r="H22" s="21"/>
      <c r="I22" s="21"/>
      <c r="J22" s="21"/>
      <c r="K22" s="46"/>
      <c r="L22" s="21"/>
      <c r="M22" s="21"/>
      <c r="N22" s="21"/>
      <c r="O22" s="21"/>
      <c r="P22" s="47">
        <f t="shared" si="0"/>
        <v>178039.78</v>
      </c>
      <c r="R22" s="48"/>
    </row>
    <row r="23" s="5" customFormat="1" spans="1:18">
      <c r="A23" s="22"/>
      <c r="B23" s="24"/>
      <c r="C23" s="25" t="s">
        <v>89</v>
      </c>
      <c r="D23" s="21">
        <v>2541.4</v>
      </c>
      <c r="E23" s="21">
        <v>2527.19</v>
      </c>
      <c r="F23" s="21">
        <v>383.58</v>
      </c>
      <c r="G23" s="21">
        <v>-1176.38</v>
      </c>
      <c r="H23" s="21"/>
      <c r="I23" s="21"/>
      <c r="J23" s="21"/>
      <c r="K23" s="46"/>
      <c r="L23" s="21"/>
      <c r="M23" s="21"/>
      <c r="N23" s="21"/>
      <c r="O23" s="21"/>
      <c r="P23" s="47">
        <f t="shared" si="0"/>
        <v>4275.79</v>
      </c>
      <c r="R23" s="48"/>
    </row>
    <row r="24" s="5" customFormat="1" spans="1:18">
      <c r="A24" s="22"/>
      <c r="B24" s="24"/>
      <c r="C24" s="25" t="s">
        <v>90</v>
      </c>
      <c r="D24" s="21">
        <v>2529.75</v>
      </c>
      <c r="E24" s="21">
        <v>2501.85</v>
      </c>
      <c r="F24" s="21">
        <v>124.510000000001</v>
      </c>
      <c r="G24" s="21">
        <v>1760.26</v>
      </c>
      <c r="H24" s="21"/>
      <c r="I24" s="21"/>
      <c r="J24" s="21"/>
      <c r="K24" s="46"/>
      <c r="L24" s="21"/>
      <c r="M24" s="21"/>
      <c r="N24" s="21"/>
      <c r="O24" s="21"/>
      <c r="P24" s="47">
        <f t="shared" si="0"/>
        <v>6916.37</v>
      </c>
      <c r="R24" s="48"/>
    </row>
    <row r="25" s="5" customFormat="1" spans="1:18">
      <c r="A25" s="22"/>
      <c r="B25" s="24"/>
      <c r="C25" s="25" t="s">
        <v>91</v>
      </c>
      <c r="D25" s="21">
        <v>42111.95</v>
      </c>
      <c r="E25" s="21">
        <v>43084.83</v>
      </c>
      <c r="F25" s="21">
        <v>41474.28</v>
      </c>
      <c r="G25" s="21">
        <v>6005.97</v>
      </c>
      <c r="H25" s="21"/>
      <c r="I25" s="21"/>
      <c r="J25" s="21"/>
      <c r="K25" s="46"/>
      <c r="L25" s="21"/>
      <c r="M25" s="21"/>
      <c r="N25" s="21"/>
      <c r="O25" s="21"/>
      <c r="P25" s="47">
        <f t="shared" si="0"/>
        <v>132677.03</v>
      </c>
      <c r="R25" s="48"/>
    </row>
    <row r="26" s="5" customFormat="1" spans="1:18">
      <c r="A26" s="22"/>
      <c r="B26" s="23"/>
      <c r="C26" s="25" t="s">
        <v>92</v>
      </c>
      <c r="D26" s="21">
        <v>5149.79</v>
      </c>
      <c r="E26" s="21">
        <v>5232.97</v>
      </c>
      <c r="F26" s="21">
        <v>5046.31</v>
      </c>
      <c r="G26" s="21">
        <v>373.02</v>
      </c>
      <c r="H26" s="21"/>
      <c r="I26" s="21"/>
      <c r="J26" s="21"/>
      <c r="K26" s="46"/>
      <c r="L26" s="21"/>
      <c r="M26" s="21"/>
      <c r="N26" s="21"/>
      <c r="O26" s="21"/>
      <c r="P26" s="47">
        <f t="shared" si="0"/>
        <v>15802.09</v>
      </c>
      <c r="R26" s="48"/>
    </row>
    <row r="27" s="5" customFormat="1" spans="1:18">
      <c r="A27" s="22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21"/>
      <c r="J27" s="21"/>
      <c r="K27" s="46"/>
      <c r="L27" s="21"/>
      <c r="M27" s="21"/>
      <c r="N27" s="21"/>
      <c r="O27" s="21"/>
      <c r="P27" s="47">
        <f t="shared" si="0"/>
        <v>0</v>
      </c>
      <c r="R27" s="48"/>
    </row>
    <row r="28" s="5" customFormat="1" spans="1:18">
      <c r="A28" s="27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150.82</v>
      </c>
      <c r="H28" s="21"/>
      <c r="I28" s="21"/>
      <c r="J28" s="21"/>
      <c r="K28" s="46"/>
      <c r="L28" s="21"/>
      <c r="M28" s="21"/>
      <c r="N28" s="21"/>
      <c r="O28" s="21"/>
      <c r="P28" s="47">
        <f t="shared" si="0"/>
        <v>150.82</v>
      </c>
      <c r="R28" s="48"/>
    </row>
    <row r="29" s="5" customFormat="1" spans="1:18">
      <c r="A29" s="28"/>
      <c r="B29" s="23"/>
      <c r="C29" s="20" t="s">
        <v>97</v>
      </c>
      <c r="D29" s="21"/>
      <c r="E29" s="21">
        <v>0</v>
      </c>
      <c r="F29" s="21">
        <v>0</v>
      </c>
      <c r="G29" s="21">
        <v>1598.57</v>
      </c>
      <c r="H29" s="21"/>
      <c r="I29" s="21"/>
      <c r="J29" s="21"/>
      <c r="K29" s="46"/>
      <c r="L29" s="21"/>
      <c r="M29" s="21"/>
      <c r="N29" s="21"/>
      <c r="O29" s="21"/>
      <c r="P29" s="47">
        <f t="shared" si="0"/>
        <v>1598.57</v>
      </c>
      <c r="R29" s="48"/>
    </row>
    <row r="30" s="5" customFormat="1" spans="1:18">
      <c r="A30" s="28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21"/>
      <c r="J30" s="21"/>
      <c r="K30" s="46"/>
      <c r="L30" s="21"/>
      <c r="M30" s="21"/>
      <c r="N30" s="21"/>
      <c r="O30" s="21"/>
      <c r="P30" s="47">
        <f t="shared" si="0"/>
        <v>0</v>
      </c>
      <c r="R30" s="48"/>
    </row>
    <row r="31" s="5" customFormat="1" spans="1:18">
      <c r="A31" s="28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21"/>
      <c r="J31" s="21"/>
      <c r="K31" s="46"/>
      <c r="L31" s="21"/>
      <c r="M31" s="21"/>
      <c r="N31" s="21"/>
      <c r="O31" s="21"/>
      <c r="P31" s="47">
        <f t="shared" si="0"/>
        <v>0</v>
      </c>
      <c r="R31" s="48"/>
    </row>
    <row r="32" s="5" customFormat="1" spans="1:18">
      <c r="A32" s="28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21"/>
      <c r="J32" s="21"/>
      <c r="K32" s="46"/>
      <c r="L32" s="21"/>
      <c r="M32" s="21"/>
      <c r="N32" s="21"/>
      <c r="O32" s="21"/>
      <c r="P32" s="47">
        <f t="shared" si="0"/>
        <v>0</v>
      </c>
      <c r="R32" s="48"/>
    </row>
    <row r="33" s="5" customFormat="1" spans="1:18">
      <c r="A33" s="28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46"/>
      <c r="L33" s="21"/>
      <c r="M33" s="21"/>
      <c r="N33" s="21"/>
      <c r="O33" s="21"/>
      <c r="P33" s="47">
        <f t="shared" si="0"/>
        <v>0</v>
      </c>
      <c r="R33" s="48"/>
    </row>
    <row r="34" s="5" customFormat="1" spans="1:18">
      <c r="A34" s="28"/>
      <c r="B34" s="19" t="s">
        <v>103</v>
      </c>
      <c r="C34" s="25" t="s">
        <v>104</v>
      </c>
      <c r="D34" s="21">
        <v>4542</v>
      </c>
      <c r="E34" s="21">
        <v>280</v>
      </c>
      <c r="F34" s="21">
        <v>6496.58</v>
      </c>
      <c r="G34" s="21">
        <v>15098.58</v>
      </c>
      <c r="H34" s="21"/>
      <c r="I34" s="21"/>
      <c r="J34" s="21"/>
      <c r="K34" s="46"/>
      <c r="L34" s="21"/>
      <c r="M34" s="21"/>
      <c r="N34" s="21"/>
      <c r="O34" s="21"/>
      <c r="P34" s="47">
        <f t="shared" si="0"/>
        <v>26417.16</v>
      </c>
      <c r="R34" s="48"/>
    </row>
    <row r="35" s="5" customFormat="1" spans="1:18">
      <c r="A35" s="28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46"/>
      <c r="L35" s="21"/>
      <c r="M35" s="21"/>
      <c r="N35" s="21"/>
      <c r="O35" s="21"/>
      <c r="P35" s="47">
        <f t="shared" si="0"/>
        <v>0</v>
      </c>
      <c r="R35" s="48"/>
    </row>
    <row r="36" s="5" customFormat="1" spans="1:18">
      <c r="A36" s="28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3240.96</v>
      </c>
      <c r="H36" s="21"/>
      <c r="I36" s="21"/>
      <c r="J36" s="21"/>
      <c r="K36" s="46"/>
      <c r="L36" s="21"/>
      <c r="M36" s="21"/>
      <c r="N36" s="21"/>
      <c r="O36" s="21"/>
      <c r="P36" s="47">
        <f t="shared" si="0"/>
        <v>3240.96</v>
      </c>
      <c r="R36" s="48"/>
    </row>
    <row r="37" s="5" customFormat="1" spans="1:18">
      <c r="A37" s="28"/>
      <c r="B37" s="26" t="s">
        <v>107</v>
      </c>
      <c r="C37" s="25" t="s">
        <v>107</v>
      </c>
      <c r="D37" s="21"/>
      <c r="E37" s="21">
        <v>116</v>
      </c>
      <c r="F37" s="21">
        <v>0</v>
      </c>
      <c r="G37" s="21">
        <v>8546.5</v>
      </c>
      <c r="H37" s="21"/>
      <c r="I37" s="21"/>
      <c r="J37" s="21"/>
      <c r="K37" s="46"/>
      <c r="L37" s="21"/>
      <c r="M37" s="21"/>
      <c r="N37" s="21"/>
      <c r="O37" s="21"/>
      <c r="P37" s="47">
        <f t="shared" si="0"/>
        <v>8662.5</v>
      </c>
      <c r="R37" s="48"/>
    </row>
    <row r="38" s="5" customFormat="1" spans="1:18">
      <c r="A38" s="28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21"/>
      <c r="J38" s="21"/>
      <c r="K38" s="46"/>
      <c r="L38" s="21"/>
      <c r="M38" s="21"/>
      <c r="N38" s="21"/>
      <c r="O38" s="21"/>
      <c r="P38" s="47">
        <f t="shared" si="0"/>
        <v>0</v>
      </c>
      <c r="R38" s="48"/>
    </row>
    <row r="39" s="5" customFormat="1" spans="1:18">
      <c r="A39" s="28"/>
      <c r="B39" s="23"/>
      <c r="C39" s="25" t="s">
        <v>110</v>
      </c>
      <c r="D39" s="21">
        <v>3176.19</v>
      </c>
      <c r="E39" s="21">
        <v>0</v>
      </c>
      <c r="F39" s="21">
        <v>722.85</v>
      </c>
      <c r="G39" s="21">
        <v>-3899.04</v>
      </c>
      <c r="H39" s="21"/>
      <c r="I39" s="21"/>
      <c r="J39" s="21"/>
      <c r="K39" s="46"/>
      <c r="L39" s="21"/>
      <c r="M39" s="21"/>
      <c r="N39" s="21"/>
      <c r="O39" s="21"/>
      <c r="P39" s="47">
        <f t="shared" si="0"/>
        <v>0</v>
      </c>
      <c r="R39" s="48"/>
    </row>
    <row r="40" s="5" customFormat="1" spans="1:18">
      <c r="A40" s="28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21"/>
      <c r="J40" s="21"/>
      <c r="K40" s="46"/>
      <c r="L40" s="21"/>
      <c r="M40" s="21"/>
      <c r="N40" s="21"/>
      <c r="O40" s="21"/>
      <c r="P40" s="47">
        <f t="shared" si="0"/>
        <v>0</v>
      </c>
      <c r="R40" s="48"/>
    </row>
    <row r="41" s="5" customFormat="1" spans="1:18">
      <c r="A41" s="29" t="s">
        <v>112</v>
      </c>
      <c r="B41" s="30" t="s">
        <v>113</v>
      </c>
      <c r="C41" s="20" t="s">
        <v>113</v>
      </c>
      <c r="D41" s="21">
        <v>3978.54</v>
      </c>
      <c r="E41" s="21">
        <v>10190.8</v>
      </c>
      <c r="F41" s="21">
        <v>0</v>
      </c>
      <c r="G41" s="21">
        <v>20165.59</v>
      </c>
      <c r="H41" s="21"/>
      <c r="I41" s="21"/>
      <c r="J41" s="21"/>
      <c r="K41" s="46"/>
      <c r="L41" s="21"/>
      <c r="M41" s="21"/>
      <c r="N41" s="21"/>
      <c r="O41" s="21"/>
      <c r="P41" s="47">
        <f t="shared" si="0"/>
        <v>34334.93</v>
      </c>
      <c r="R41" s="48"/>
    </row>
    <row r="42" s="5" customFormat="1" spans="1:18">
      <c r="A42" s="31"/>
      <c r="B42" s="19" t="s">
        <v>114</v>
      </c>
      <c r="C42" s="32" t="s">
        <v>114</v>
      </c>
      <c r="D42" s="21"/>
      <c r="E42" s="21">
        <v>0</v>
      </c>
      <c r="F42" s="21">
        <v>0</v>
      </c>
      <c r="G42" s="21">
        <v>0</v>
      </c>
      <c r="H42" s="21"/>
      <c r="I42" s="21"/>
      <c r="J42" s="21"/>
      <c r="K42" s="46"/>
      <c r="L42" s="21"/>
      <c r="M42" s="21"/>
      <c r="N42" s="21"/>
      <c r="O42" s="21"/>
      <c r="P42" s="47">
        <f t="shared" si="0"/>
        <v>0</v>
      </c>
      <c r="R42" s="48"/>
    </row>
    <row r="43" s="5" customFormat="1" spans="1:18">
      <c r="A43" s="31"/>
      <c r="B43" s="19" t="s">
        <v>115</v>
      </c>
      <c r="C43" s="32" t="s">
        <v>115</v>
      </c>
      <c r="D43" s="21"/>
      <c r="E43" s="21">
        <v>0</v>
      </c>
      <c r="F43" s="21">
        <v>0</v>
      </c>
      <c r="G43" s="21">
        <v>0</v>
      </c>
      <c r="H43" s="21"/>
      <c r="I43" s="21"/>
      <c r="J43" s="21"/>
      <c r="K43" s="46"/>
      <c r="L43" s="21"/>
      <c r="M43" s="21"/>
      <c r="N43" s="21"/>
      <c r="O43" s="21"/>
      <c r="P43" s="47">
        <f t="shared" si="0"/>
        <v>0</v>
      </c>
      <c r="R43" s="48"/>
    </row>
    <row r="44" s="5" customFormat="1" spans="1:18">
      <c r="A44" s="31"/>
      <c r="B44" s="19" t="s">
        <v>116</v>
      </c>
      <c r="C44" s="32" t="s">
        <v>117</v>
      </c>
      <c r="D44" s="21"/>
      <c r="E44" s="21">
        <v>0</v>
      </c>
      <c r="F44" s="21">
        <v>0</v>
      </c>
      <c r="G44" s="21">
        <v>0</v>
      </c>
      <c r="H44" s="21"/>
      <c r="I44" s="21"/>
      <c r="J44" s="21"/>
      <c r="K44" s="46"/>
      <c r="L44" s="21"/>
      <c r="M44" s="21"/>
      <c r="N44" s="21"/>
      <c r="O44" s="21"/>
      <c r="P44" s="47">
        <f t="shared" si="0"/>
        <v>0</v>
      </c>
      <c r="R44" s="48"/>
    </row>
    <row r="45" s="5" customFormat="1" spans="1:18">
      <c r="A45" s="31"/>
      <c r="B45" s="23"/>
      <c r="C45" s="32" t="s">
        <v>118</v>
      </c>
      <c r="D45" s="21"/>
      <c r="E45" s="21">
        <v>0</v>
      </c>
      <c r="F45" s="21">
        <v>0</v>
      </c>
      <c r="G45" s="21">
        <v>0</v>
      </c>
      <c r="H45" s="21"/>
      <c r="I45" s="21"/>
      <c r="J45" s="21"/>
      <c r="K45" s="46"/>
      <c r="L45" s="21"/>
      <c r="M45" s="21"/>
      <c r="N45" s="21"/>
      <c r="O45" s="21"/>
      <c r="P45" s="47">
        <f t="shared" si="0"/>
        <v>0</v>
      </c>
      <c r="R45" s="48"/>
    </row>
    <row r="46" s="5" customFormat="1" spans="1:18">
      <c r="A46" s="31"/>
      <c r="B46" s="26" t="s">
        <v>119</v>
      </c>
      <c r="C46" s="33" t="s">
        <v>119</v>
      </c>
      <c r="D46" s="21">
        <v>271332.79</v>
      </c>
      <c r="E46" s="21">
        <v>292817.18</v>
      </c>
      <c r="F46" s="21">
        <v>282086.86</v>
      </c>
      <c r="G46" s="21">
        <v>277367.95</v>
      </c>
      <c r="H46" s="21"/>
      <c r="I46" s="21"/>
      <c r="J46" s="21"/>
      <c r="K46" s="46"/>
      <c r="L46" s="21"/>
      <c r="M46" s="21"/>
      <c r="N46" s="21"/>
      <c r="O46" s="21"/>
      <c r="P46" s="47">
        <f t="shared" si="0"/>
        <v>1123604.78</v>
      </c>
      <c r="R46" s="48"/>
    </row>
    <row r="47" s="5" customFormat="1" spans="1:18">
      <c r="A47" s="31"/>
      <c r="B47" s="26" t="s">
        <v>120</v>
      </c>
      <c r="C47" s="33" t="s">
        <v>120</v>
      </c>
      <c r="D47" s="21"/>
      <c r="E47" s="21">
        <v>0</v>
      </c>
      <c r="F47" s="21">
        <v>0</v>
      </c>
      <c r="G47" s="21">
        <v>0</v>
      </c>
      <c r="H47" s="21"/>
      <c r="I47" s="21"/>
      <c r="J47" s="21"/>
      <c r="K47" s="46"/>
      <c r="L47" s="21"/>
      <c r="M47" s="21"/>
      <c r="N47" s="21"/>
      <c r="O47" s="21"/>
      <c r="P47" s="47">
        <f t="shared" si="0"/>
        <v>0</v>
      </c>
      <c r="R47" s="48"/>
    </row>
    <row r="48" s="5" customFormat="1" spans="1:18">
      <c r="A48" s="31"/>
      <c r="B48" s="19" t="s">
        <v>121</v>
      </c>
      <c r="C48" s="32" t="s">
        <v>121</v>
      </c>
      <c r="D48" s="21"/>
      <c r="E48" s="21">
        <v>0</v>
      </c>
      <c r="F48" s="21">
        <v>0</v>
      </c>
      <c r="G48" s="21">
        <v>0</v>
      </c>
      <c r="H48" s="21"/>
      <c r="I48" s="21"/>
      <c r="J48" s="21"/>
      <c r="K48" s="46"/>
      <c r="L48" s="21"/>
      <c r="M48" s="21"/>
      <c r="N48" s="21"/>
      <c r="O48" s="21"/>
      <c r="P48" s="47">
        <f t="shared" si="0"/>
        <v>0</v>
      </c>
      <c r="R48" s="48"/>
    </row>
    <row r="49" s="5" customFormat="1" spans="1:18">
      <c r="A49" s="36" t="s">
        <v>122</v>
      </c>
      <c r="B49" s="37" t="s">
        <v>123</v>
      </c>
      <c r="C49" s="33" t="s">
        <v>124</v>
      </c>
      <c r="D49" s="21">
        <v>333758.75</v>
      </c>
      <c r="E49" s="21">
        <v>180517.36</v>
      </c>
      <c r="F49" s="21">
        <v>4633630.71</v>
      </c>
      <c r="G49" s="21">
        <v>5425780.98</v>
      </c>
      <c r="H49" s="21"/>
      <c r="I49" s="21"/>
      <c r="J49" s="21"/>
      <c r="K49" s="46"/>
      <c r="L49" s="21"/>
      <c r="M49" s="21"/>
      <c r="N49" s="21"/>
      <c r="O49" s="21"/>
      <c r="P49" s="47">
        <f t="shared" si="0"/>
        <v>10573687.8</v>
      </c>
      <c r="R49" s="48"/>
    </row>
    <row r="50" s="5" customFormat="1" spans="1:18">
      <c r="A50" s="36"/>
      <c r="B50" s="38"/>
      <c r="C50" s="33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46"/>
      <c r="L50" s="21"/>
      <c r="M50" s="21"/>
      <c r="N50" s="21"/>
      <c r="O50" s="21"/>
      <c r="P50" s="47">
        <f t="shared" si="0"/>
        <v>0</v>
      </c>
      <c r="R50" s="48"/>
    </row>
    <row r="51" s="5" customFormat="1" spans="1:18">
      <c r="A51" s="36"/>
      <c r="B51" s="39"/>
      <c r="C51" s="33" t="s">
        <v>83</v>
      </c>
      <c r="D51" s="21"/>
      <c r="E51" s="21"/>
      <c r="F51" s="21"/>
      <c r="G51" s="21">
        <v>0</v>
      </c>
      <c r="H51" s="21"/>
      <c r="I51" s="21"/>
      <c r="J51" s="21"/>
      <c r="K51" s="46"/>
      <c r="L51" s="21"/>
      <c r="M51" s="21"/>
      <c r="N51" s="21"/>
      <c r="O51" s="21"/>
      <c r="P51" s="47">
        <f t="shared" si="0"/>
        <v>0</v>
      </c>
      <c r="R51" s="48"/>
    </row>
    <row r="52" s="5" customFormat="1" spans="1:18">
      <c r="A52" s="36"/>
      <c r="B52" s="19" t="s">
        <v>126</v>
      </c>
      <c r="C52" s="33" t="s">
        <v>127</v>
      </c>
      <c r="D52" s="21"/>
      <c r="E52" s="21"/>
      <c r="F52" s="21"/>
      <c r="G52" s="21">
        <v>0</v>
      </c>
      <c r="H52" s="21"/>
      <c r="I52" s="21"/>
      <c r="J52" s="21"/>
      <c r="K52" s="46"/>
      <c r="L52" s="21"/>
      <c r="M52" s="21"/>
      <c r="N52" s="21"/>
      <c r="O52" s="21"/>
      <c r="P52" s="47">
        <f t="shared" si="0"/>
        <v>0</v>
      </c>
      <c r="R52" s="48"/>
    </row>
    <row r="53" s="5" customFormat="1" spans="1:18">
      <c r="A53" s="36"/>
      <c r="B53" s="24"/>
      <c r="C53" s="33" t="s">
        <v>128</v>
      </c>
      <c r="D53" s="21"/>
      <c r="E53" s="21"/>
      <c r="F53" s="21"/>
      <c r="G53" s="21">
        <v>0</v>
      </c>
      <c r="H53" s="21"/>
      <c r="I53" s="21"/>
      <c r="J53" s="21"/>
      <c r="K53" s="46"/>
      <c r="L53" s="21"/>
      <c r="M53" s="21"/>
      <c r="N53" s="21"/>
      <c r="O53" s="21"/>
      <c r="P53" s="47">
        <f t="shared" si="0"/>
        <v>0</v>
      </c>
      <c r="R53" s="48"/>
    </row>
    <row r="54" s="5" customFormat="1" spans="1:18">
      <c r="A54" s="36"/>
      <c r="B54" s="23"/>
      <c r="C54" s="33" t="s">
        <v>83</v>
      </c>
      <c r="D54" s="21"/>
      <c r="E54" s="21"/>
      <c r="F54" s="21"/>
      <c r="G54" s="21">
        <v>0</v>
      </c>
      <c r="H54" s="21"/>
      <c r="I54" s="21"/>
      <c r="J54" s="21"/>
      <c r="K54" s="46"/>
      <c r="L54" s="21"/>
      <c r="M54" s="21"/>
      <c r="N54" s="21"/>
      <c r="O54" s="21"/>
      <c r="P54" s="47">
        <f t="shared" si="0"/>
        <v>0</v>
      </c>
      <c r="R54" s="48"/>
    </row>
    <row r="55" s="5" customFormat="1" spans="1:18">
      <c r="A55" s="36"/>
      <c r="B55" s="40" t="s">
        <v>129</v>
      </c>
      <c r="C55" s="33" t="s">
        <v>129</v>
      </c>
      <c r="D55" s="21"/>
      <c r="E55" s="21">
        <v>0</v>
      </c>
      <c r="F55" s="21">
        <v>0</v>
      </c>
      <c r="G55" s="21">
        <v>0</v>
      </c>
      <c r="H55" s="21"/>
      <c r="I55" s="21"/>
      <c r="J55" s="21"/>
      <c r="K55" s="46"/>
      <c r="L55" s="21"/>
      <c r="M55" s="21"/>
      <c r="N55" s="21"/>
      <c r="O55" s="21"/>
      <c r="P55" s="47">
        <f t="shared" si="0"/>
        <v>0</v>
      </c>
      <c r="R55" s="48"/>
    </row>
    <row r="56" s="5" customFormat="1" spans="1:18">
      <c r="A56" s="36"/>
      <c r="B56" s="40" t="s">
        <v>130</v>
      </c>
      <c r="C56" s="33" t="s">
        <v>130</v>
      </c>
      <c r="D56" s="21">
        <v>4000</v>
      </c>
      <c r="E56" s="21">
        <v>0</v>
      </c>
      <c r="F56" s="21">
        <v>0</v>
      </c>
      <c r="G56" s="21">
        <v>6580</v>
      </c>
      <c r="H56" s="21"/>
      <c r="I56" s="21"/>
      <c r="J56" s="21"/>
      <c r="K56" s="46"/>
      <c r="L56" s="21"/>
      <c r="M56" s="21"/>
      <c r="N56" s="21"/>
      <c r="O56" s="21"/>
      <c r="P56" s="47">
        <f t="shared" si="0"/>
        <v>10580</v>
      </c>
      <c r="R56" s="48"/>
    </row>
    <row r="57" s="5" customFormat="1" spans="1:18">
      <c r="A57" s="41" t="s">
        <v>131</v>
      </c>
      <c r="B57" s="26" t="s">
        <v>132</v>
      </c>
      <c r="C57" s="33" t="s">
        <v>132</v>
      </c>
      <c r="D57" s="21"/>
      <c r="E57" s="21">
        <v>0</v>
      </c>
      <c r="F57" s="21">
        <v>0</v>
      </c>
      <c r="G57" s="21">
        <v>0</v>
      </c>
      <c r="H57" s="21"/>
      <c r="I57" s="21"/>
      <c r="J57" s="21"/>
      <c r="K57" s="46"/>
      <c r="L57" s="21"/>
      <c r="M57" s="21"/>
      <c r="N57" s="21"/>
      <c r="O57" s="21"/>
      <c r="P57" s="47">
        <f t="shared" si="0"/>
        <v>0</v>
      </c>
      <c r="R57" s="48"/>
    </row>
    <row r="58" s="5" customFormat="1" spans="1:18">
      <c r="A58" s="41"/>
      <c r="B58" s="37" t="s">
        <v>133</v>
      </c>
      <c r="C58" s="33" t="s">
        <v>133</v>
      </c>
      <c r="D58" s="21"/>
      <c r="E58" s="21">
        <v>0</v>
      </c>
      <c r="F58" s="21">
        <v>0</v>
      </c>
      <c r="G58" s="21">
        <v>0</v>
      </c>
      <c r="H58" s="21"/>
      <c r="I58" s="21"/>
      <c r="J58" s="21"/>
      <c r="K58" s="46"/>
      <c r="L58" s="21"/>
      <c r="M58" s="21"/>
      <c r="N58" s="21"/>
      <c r="O58" s="21"/>
      <c r="P58" s="47">
        <f t="shared" si="0"/>
        <v>0</v>
      </c>
      <c r="R58" s="48"/>
    </row>
    <row r="59" s="5" customFormat="1" spans="1:18">
      <c r="A59" s="41"/>
      <c r="B59" s="37" t="s">
        <v>134</v>
      </c>
      <c r="C59" s="33" t="s">
        <v>135</v>
      </c>
      <c r="D59" s="21"/>
      <c r="E59" s="21"/>
      <c r="F59" s="21"/>
      <c r="G59" s="21">
        <v>0</v>
      </c>
      <c r="H59" s="21"/>
      <c r="I59" s="21"/>
      <c r="J59" s="21"/>
      <c r="K59" s="46"/>
      <c r="L59" s="21"/>
      <c r="M59" s="21"/>
      <c r="N59" s="21"/>
      <c r="O59" s="21"/>
      <c r="P59" s="47">
        <f t="shared" si="0"/>
        <v>0</v>
      </c>
      <c r="R59" s="48"/>
    </row>
    <row r="60" s="5" customFormat="1" spans="1:18">
      <c r="A60" s="41"/>
      <c r="B60" s="39"/>
      <c r="C60" s="33" t="s">
        <v>83</v>
      </c>
      <c r="D60" s="21"/>
      <c r="E60" s="21"/>
      <c r="F60" s="21"/>
      <c r="G60" s="21">
        <v>0</v>
      </c>
      <c r="H60" s="21"/>
      <c r="I60" s="21"/>
      <c r="J60" s="21"/>
      <c r="K60" s="46"/>
      <c r="L60" s="21"/>
      <c r="M60" s="21"/>
      <c r="N60" s="21"/>
      <c r="O60" s="21"/>
      <c r="P60" s="47">
        <f t="shared" si="0"/>
        <v>0</v>
      </c>
      <c r="R60" s="48"/>
    </row>
    <row r="61" s="5" customFormat="1" spans="1:18">
      <c r="A61" s="41"/>
      <c r="B61" s="40" t="s">
        <v>136</v>
      </c>
      <c r="C61" s="33" t="s">
        <v>136</v>
      </c>
      <c r="D61" s="21"/>
      <c r="E61" s="21">
        <v>0</v>
      </c>
      <c r="F61" s="21">
        <v>0</v>
      </c>
      <c r="G61" s="21">
        <v>0</v>
      </c>
      <c r="H61" s="21"/>
      <c r="I61" s="21"/>
      <c r="J61" s="21"/>
      <c r="K61" s="46"/>
      <c r="L61" s="21"/>
      <c r="M61" s="21"/>
      <c r="N61" s="21"/>
      <c r="O61" s="21"/>
      <c r="P61" s="47">
        <f t="shared" si="0"/>
        <v>0</v>
      </c>
      <c r="R61" s="48"/>
    </row>
    <row r="62" s="5" customFormat="1" spans="1:18">
      <c r="A62" s="41"/>
      <c r="B62" s="26" t="s">
        <v>137</v>
      </c>
      <c r="C62" s="33" t="s">
        <v>137</v>
      </c>
      <c r="D62" s="21"/>
      <c r="E62" s="21">
        <v>0</v>
      </c>
      <c r="F62" s="21">
        <v>733</v>
      </c>
      <c r="G62" s="21">
        <v>0</v>
      </c>
      <c r="H62" s="21"/>
      <c r="I62" s="21"/>
      <c r="J62" s="21"/>
      <c r="K62" s="46"/>
      <c r="L62" s="21"/>
      <c r="M62" s="21"/>
      <c r="N62" s="21"/>
      <c r="O62" s="21"/>
      <c r="P62" s="47">
        <f t="shared" si="0"/>
        <v>733</v>
      </c>
      <c r="R62" s="48"/>
    </row>
    <row r="63" s="5" customFormat="1" spans="1:18">
      <c r="A63" s="42" t="s">
        <v>138</v>
      </c>
      <c r="B63" s="43" t="s">
        <v>139</v>
      </c>
      <c r="C63" s="33" t="s">
        <v>139</v>
      </c>
      <c r="D63" s="21"/>
      <c r="E63" s="21">
        <v>0</v>
      </c>
      <c r="F63" s="21">
        <v>0</v>
      </c>
      <c r="G63" s="21">
        <v>0</v>
      </c>
      <c r="H63" s="21"/>
      <c r="I63" s="21"/>
      <c r="J63" s="21"/>
      <c r="K63" s="46"/>
      <c r="L63" s="21"/>
      <c r="M63" s="21"/>
      <c r="N63" s="21"/>
      <c r="O63" s="21"/>
      <c r="P63" s="47">
        <f t="shared" si="0"/>
        <v>0</v>
      </c>
      <c r="R63" s="48"/>
    </row>
    <row r="64" s="5" customFormat="1" spans="1:18">
      <c r="A64" s="42"/>
      <c r="B64" s="43" t="s">
        <v>140</v>
      </c>
      <c r="C64" s="33" t="s">
        <v>140</v>
      </c>
      <c r="D64" s="21"/>
      <c r="E64" s="21">
        <v>0</v>
      </c>
      <c r="F64" s="21">
        <v>0</v>
      </c>
      <c r="G64" s="21">
        <v>0</v>
      </c>
      <c r="H64" s="21"/>
      <c r="I64" s="21"/>
      <c r="J64" s="21"/>
      <c r="K64" s="46"/>
      <c r="L64" s="21"/>
      <c r="M64" s="21"/>
      <c r="N64" s="21"/>
      <c r="O64" s="21"/>
      <c r="P64" s="47">
        <f t="shared" si="0"/>
        <v>0</v>
      </c>
      <c r="R64" s="48"/>
    </row>
    <row r="65" s="5" customFormat="1" spans="1:18">
      <c r="A65" s="42"/>
      <c r="B65" s="43" t="s">
        <v>141</v>
      </c>
      <c r="C65" s="33" t="s">
        <v>141</v>
      </c>
      <c r="D65" s="21">
        <v>25845.43</v>
      </c>
      <c r="E65" s="21">
        <v>18574.38</v>
      </c>
      <c r="F65" s="21">
        <v>18261.36</v>
      </c>
      <c r="G65" s="21">
        <v>17519.67</v>
      </c>
      <c r="H65" s="21"/>
      <c r="I65" s="21"/>
      <c r="J65" s="21"/>
      <c r="K65" s="46"/>
      <c r="L65" s="21"/>
      <c r="M65" s="21"/>
      <c r="N65" s="21"/>
      <c r="O65" s="21"/>
      <c r="P65" s="47">
        <f t="shared" si="0"/>
        <v>80200.84</v>
      </c>
      <c r="R65" s="48"/>
    </row>
    <row r="66" s="5" customFormat="1" spans="1:18">
      <c r="A66" s="42"/>
      <c r="B66" s="43" t="s">
        <v>142</v>
      </c>
      <c r="C66" s="33" t="s">
        <v>142</v>
      </c>
      <c r="D66" s="21"/>
      <c r="E66" s="21">
        <v>0</v>
      </c>
      <c r="F66" s="21">
        <v>0</v>
      </c>
      <c r="G66" s="21">
        <v>0</v>
      </c>
      <c r="H66" s="21"/>
      <c r="I66" s="21"/>
      <c r="J66" s="21"/>
      <c r="K66" s="46"/>
      <c r="L66" s="21"/>
      <c r="M66" s="21"/>
      <c r="N66" s="21"/>
      <c r="O66" s="21"/>
      <c r="P66" s="47">
        <f t="shared" si="0"/>
        <v>0</v>
      </c>
      <c r="R66" s="48"/>
    </row>
    <row r="67" s="5" customFormat="1" spans="1:18">
      <c r="A67" s="42"/>
      <c r="B67" s="43" t="s">
        <v>143</v>
      </c>
      <c r="C67" s="33" t="s">
        <v>143</v>
      </c>
      <c r="D67" s="21"/>
      <c r="E67" s="21">
        <v>0</v>
      </c>
      <c r="F67" s="21">
        <v>0</v>
      </c>
      <c r="G67" s="21">
        <v>0</v>
      </c>
      <c r="H67" s="21"/>
      <c r="I67" s="21"/>
      <c r="J67" s="21"/>
      <c r="K67" s="46"/>
      <c r="L67" s="21"/>
      <c r="M67" s="21"/>
      <c r="N67" s="21"/>
      <c r="O67" s="21"/>
      <c r="P67" s="47">
        <f t="shared" si="0"/>
        <v>0</v>
      </c>
      <c r="R67" s="48"/>
    </row>
    <row r="68" s="5" customFormat="1" spans="1:18">
      <c r="A68" s="42"/>
      <c r="B68" s="37" t="s">
        <v>144</v>
      </c>
      <c r="C68" s="33" t="s">
        <v>145</v>
      </c>
      <c r="D68" s="21"/>
      <c r="E68" s="21">
        <v>0</v>
      </c>
      <c r="F68" s="21">
        <v>0</v>
      </c>
      <c r="G68" s="21">
        <v>0</v>
      </c>
      <c r="H68" s="21"/>
      <c r="I68" s="21"/>
      <c r="J68" s="21"/>
      <c r="K68" s="46"/>
      <c r="L68" s="21"/>
      <c r="M68" s="21"/>
      <c r="N68" s="21"/>
      <c r="O68" s="21"/>
      <c r="P68" s="47">
        <f t="shared" si="0"/>
        <v>0</v>
      </c>
      <c r="R68" s="48"/>
    </row>
    <row r="69" s="5" customFormat="1" spans="1:18">
      <c r="A69" s="42"/>
      <c r="B69" s="39"/>
      <c r="C69" s="33" t="s">
        <v>146</v>
      </c>
      <c r="D69" s="21"/>
      <c r="E69" s="21">
        <v>0</v>
      </c>
      <c r="F69" s="21">
        <v>0</v>
      </c>
      <c r="G69" s="21">
        <v>0</v>
      </c>
      <c r="H69" s="21"/>
      <c r="I69" s="21"/>
      <c r="J69" s="21"/>
      <c r="K69" s="46"/>
      <c r="L69" s="21"/>
      <c r="M69" s="21"/>
      <c r="N69" s="21"/>
      <c r="O69" s="21"/>
      <c r="P69" s="47">
        <f t="shared" si="0"/>
        <v>0</v>
      </c>
      <c r="R69" s="48"/>
    </row>
    <row r="70" s="5" customFormat="1" spans="1:18">
      <c r="A70" s="42"/>
      <c r="B70" s="37" t="s">
        <v>147</v>
      </c>
      <c r="C70" s="32" t="s">
        <v>147</v>
      </c>
      <c r="D70" s="21"/>
      <c r="E70" s="21">
        <v>0</v>
      </c>
      <c r="F70" s="21">
        <v>45.3</v>
      </c>
      <c r="G70" s="21">
        <v>638.54</v>
      </c>
      <c r="H70" s="21"/>
      <c r="I70" s="21"/>
      <c r="J70" s="21"/>
      <c r="K70" s="46"/>
      <c r="L70" s="21"/>
      <c r="M70" s="21"/>
      <c r="N70" s="21"/>
      <c r="O70" s="21"/>
      <c r="P70" s="47">
        <f t="shared" si="0"/>
        <v>683.84</v>
      </c>
      <c r="R70" s="48"/>
    </row>
    <row r="71" s="5" customFormat="1" spans="1:18">
      <c r="A71" s="42"/>
      <c r="B71" s="40" t="s">
        <v>148</v>
      </c>
      <c r="C71" s="33" t="s">
        <v>148</v>
      </c>
      <c r="D71" s="21"/>
      <c r="E71" s="21"/>
      <c r="F71" s="21"/>
      <c r="G71" s="21">
        <v>0</v>
      </c>
      <c r="H71" s="21"/>
      <c r="I71" s="21"/>
      <c r="J71" s="21"/>
      <c r="K71" s="46"/>
      <c r="L71" s="21"/>
      <c r="M71" s="21"/>
      <c r="N71" s="21"/>
      <c r="O71" s="21"/>
      <c r="P71" s="47">
        <f t="shared" ref="P71:P98" si="1">SUM(D71:O71)</f>
        <v>0</v>
      </c>
      <c r="R71" s="48"/>
    </row>
    <row r="72" s="5" customFormat="1" spans="1:18">
      <c r="A72" s="42"/>
      <c r="B72" s="40" t="s">
        <v>149</v>
      </c>
      <c r="C72" s="33" t="s">
        <v>149</v>
      </c>
      <c r="D72" s="21"/>
      <c r="E72" s="21"/>
      <c r="F72" s="21"/>
      <c r="G72" s="21">
        <v>0</v>
      </c>
      <c r="H72" s="21"/>
      <c r="I72" s="21"/>
      <c r="J72" s="21"/>
      <c r="K72" s="46"/>
      <c r="L72" s="21"/>
      <c r="M72" s="21"/>
      <c r="N72" s="21"/>
      <c r="O72" s="21"/>
      <c r="P72" s="47">
        <f t="shared" si="1"/>
        <v>0</v>
      </c>
      <c r="R72" s="48"/>
    </row>
    <row r="73" s="5" customFormat="1" spans="1:18">
      <c r="A73" s="42"/>
      <c r="B73" s="37" t="s">
        <v>150</v>
      </c>
      <c r="C73" s="33" t="s">
        <v>151</v>
      </c>
      <c r="D73" s="21"/>
      <c r="E73" s="21"/>
      <c r="F73" s="21"/>
      <c r="G73" s="21">
        <v>0</v>
      </c>
      <c r="H73" s="21"/>
      <c r="I73" s="21"/>
      <c r="J73" s="21"/>
      <c r="K73" s="46"/>
      <c r="L73" s="21"/>
      <c r="M73" s="21"/>
      <c r="N73" s="21"/>
      <c r="O73" s="21"/>
      <c r="P73" s="47">
        <f t="shared" si="1"/>
        <v>0</v>
      </c>
      <c r="R73" s="48"/>
    </row>
    <row r="74" s="5" customFormat="1" spans="1:18">
      <c r="A74" s="42"/>
      <c r="B74" s="39"/>
      <c r="C74" s="49" t="s">
        <v>152</v>
      </c>
      <c r="D74" s="21"/>
      <c r="E74" s="21">
        <v>0</v>
      </c>
      <c r="F74" s="21">
        <v>0</v>
      </c>
      <c r="G74" s="21">
        <v>0</v>
      </c>
      <c r="H74" s="21"/>
      <c r="I74" s="21"/>
      <c r="J74" s="21"/>
      <c r="K74" s="46"/>
      <c r="L74" s="21"/>
      <c r="M74" s="21"/>
      <c r="N74" s="21"/>
      <c r="O74" s="21"/>
      <c r="P74" s="47">
        <f t="shared" si="1"/>
        <v>0</v>
      </c>
      <c r="R74" s="48"/>
    </row>
    <row r="75" s="5" customFormat="1" spans="1:18">
      <c r="A75" s="42"/>
      <c r="B75" s="40" t="s">
        <v>153</v>
      </c>
      <c r="C75" s="33" t="s">
        <v>153</v>
      </c>
      <c r="D75" s="21"/>
      <c r="E75" s="21">
        <v>0</v>
      </c>
      <c r="F75" s="21">
        <v>0</v>
      </c>
      <c r="G75" s="21">
        <v>0</v>
      </c>
      <c r="H75" s="21"/>
      <c r="I75" s="21"/>
      <c r="J75" s="21"/>
      <c r="K75" s="46"/>
      <c r="L75" s="21"/>
      <c r="M75" s="21"/>
      <c r="N75" s="21"/>
      <c r="O75" s="21"/>
      <c r="P75" s="47">
        <f t="shared" si="1"/>
        <v>0</v>
      </c>
      <c r="R75" s="48"/>
    </row>
    <row r="76" s="5" customFormat="1" spans="1:18">
      <c r="A76" s="50" t="s">
        <v>154</v>
      </c>
      <c r="B76" s="19" t="s">
        <v>155</v>
      </c>
      <c r="C76" s="32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46"/>
      <c r="L76" s="21"/>
      <c r="M76" s="21"/>
      <c r="N76" s="21"/>
      <c r="O76" s="21"/>
      <c r="P76" s="47">
        <f t="shared" si="1"/>
        <v>0</v>
      </c>
      <c r="R76" s="48"/>
    </row>
    <row r="77" s="5" customFormat="1" spans="1:18">
      <c r="A77" s="50"/>
      <c r="B77" s="19" t="s">
        <v>156</v>
      </c>
      <c r="C77" s="33" t="s">
        <v>157</v>
      </c>
      <c r="D77" s="21"/>
      <c r="E77" s="21"/>
      <c r="F77" s="21">
        <v>97087.38</v>
      </c>
      <c r="G77" s="21">
        <v>0</v>
      </c>
      <c r="H77" s="21"/>
      <c r="I77" s="21"/>
      <c r="J77" s="21"/>
      <c r="K77" s="46"/>
      <c r="L77" s="21"/>
      <c r="M77" s="21"/>
      <c r="N77" s="21"/>
      <c r="O77" s="21"/>
      <c r="P77" s="47">
        <f t="shared" si="1"/>
        <v>97087.38</v>
      </c>
      <c r="R77" s="48"/>
    </row>
    <row r="78" s="5" customFormat="1" spans="1:18">
      <c r="A78" s="50"/>
      <c r="B78" s="23"/>
      <c r="C78" s="49" t="s">
        <v>158</v>
      </c>
      <c r="D78" s="21"/>
      <c r="E78" s="21"/>
      <c r="F78" s="21"/>
      <c r="G78" s="21">
        <v>0</v>
      </c>
      <c r="H78" s="21"/>
      <c r="I78" s="21"/>
      <c r="J78" s="21"/>
      <c r="K78" s="46"/>
      <c r="L78" s="21"/>
      <c r="M78" s="21"/>
      <c r="N78" s="21"/>
      <c r="O78" s="21"/>
      <c r="P78" s="47">
        <f t="shared" si="1"/>
        <v>0</v>
      </c>
      <c r="R78" s="48"/>
    </row>
    <row r="79" s="5" customFormat="1" spans="1:18">
      <c r="A79" s="50"/>
      <c r="B79" s="26" t="s">
        <v>159</v>
      </c>
      <c r="C79" s="33" t="s">
        <v>159</v>
      </c>
      <c r="D79" s="21"/>
      <c r="E79" s="21">
        <v>0</v>
      </c>
      <c r="F79" s="21">
        <v>0</v>
      </c>
      <c r="G79" s="21">
        <v>0</v>
      </c>
      <c r="H79" s="21"/>
      <c r="I79" s="21"/>
      <c r="J79" s="21"/>
      <c r="K79" s="46"/>
      <c r="L79" s="21"/>
      <c r="M79" s="21"/>
      <c r="N79" s="21"/>
      <c r="O79" s="21"/>
      <c r="P79" s="47">
        <f t="shared" si="1"/>
        <v>0</v>
      </c>
      <c r="R79" s="48"/>
    </row>
    <row r="80" s="5" customFormat="1" spans="1:18">
      <c r="A80" s="51" t="s">
        <v>160</v>
      </c>
      <c r="B80" s="26" t="s">
        <v>161</v>
      </c>
      <c r="C80" s="33" t="s">
        <v>161</v>
      </c>
      <c r="D80" s="21">
        <v>233.72</v>
      </c>
      <c r="E80" s="21">
        <v>1293.73</v>
      </c>
      <c r="F80" s="21">
        <v>0</v>
      </c>
      <c r="G80" s="21">
        <v>92.92</v>
      </c>
      <c r="H80" s="21"/>
      <c r="I80" s="21"/>
      <c r="J80" s="21"/>
      <c r="K80" s="46"/>
      <c r="L80" s="21"/>
      <c r="M80" s="21"/>
      <c r="N80" s="21"/>
      <c r="O80" s="21"/>
      <c r="P80" s="47">
        <f t="shared" si="1"/>
        <v>1620.37</v>
      </c>
      <c r="R80" s="48"/>
    </row>
    <row r="81" s="5" customFormat="1" spans="1:18">
      <c r="A81" s="51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21"/>
      <c r="J81" s="21"/>
      <c r="K81" s="46"/>
      <c r="L81" s="21"/>
      <c r="M81" s="21"/>
      <c r="N81" s="21"/>
      <c r="O81" s="21"/>
      <c r="P81" s="47">
        <f t="shared" si="1"/>
        <v>0</v>
      </c>
      <c r="R81" s="48"/>
    </row>
    <row r="82" s="5" customFormat="1" spans="1:18">
      <c r="A82" s="51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21"/>
      <c r="J82" s="21"/>
      <c r="K82" s="46"/>
      <c r="L82" s="21"/>
      <c r="M82" s="21"/>
      <c r="N82" s="21"/>
      <c r="O82" s="21"/>
      <c r="P82" s="47">
        <f t="shared" si="1"/>
        <v>0</v>
      </c>
      <c r="R82" s="48"/>
    </row>
    <row r="83" s="5" customFormat="1" spans="1:18">
      <c r="A83" s="51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21"/>
      <c r="J83" s="21"/>
      <c r="K83" s="46"/>
      <c r="L83" s="21"/>
      <c r="M83" s="21"/>
      <c r="N83" s="21"/>
      <c r="O83" s="21"/>
      <c r="P83" s="47">
        <f t="shared" si="1"/>
        <v>0</v>
      </c>
      <c r="R83" s="48"/>
    </row>
    <row r="84" s="5" customFormat="1" spans="1:18">
      <c r="A84" s="51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46"/>
      <c r="L84" s="21"/>
      <c r="M84" s="21"/>
      <c r="N84" s="21"/>
      <c r="O84" s="21"/>
      <c r="P84" s="47">
        <f t="shared" si="1"/>
        <v>0</v>
      </c>
      <c r="R84" s="48"/>
    </row>
    <row r="85" s="5" customFormat="1" spans="1:18">
      <c r="A85" s="51"/>
      <c r="B85" s="26" t="s">
        <v>167</v>
      </c>
      <c r="C85" s="33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46"/>
      <c r="L85" s="21"/>
      <c r="M85" s="21"/>
      <c r="N85" s="21"/>
      <c r="O85" s="21"/>
      <c r="P85" s="47">
        <f t="shared" si="1"/>
        <v>0</v>
      </c>
      <c r="R85" s="48"/>
    </row>
    <row r="86" s="5" customFormat="1" spans="1:18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>
        <v>0</v>
      </c>
      <c r="H86" s="21"/>
      <c r="I86" s="21"/>
      <c r="J86" s="21"/>
      <c r="K86" s="46"/>
      <c r="L86" s="21"/>
      <c r="M86" s="21"/>
      <c r="N86" s="21"/>
      <c r="O86" s="21"/>
      <c r="P86" s="47">
        <f t="shared" si="1"/>
        <v>0</v>
      </c>
      <c r="R86" s="48"/>
    </row>
    <row r="87" s="5" customFormat="1" spans="1:18">
      <c r="A87" s="52"/>
      <c r="B87" s="26" t="s">
        <v>170</v>
      </c>
      <c r="C87" s="33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46"/>
      <c r="L87" s="21"/>
      <c r="M87" s="21"/>
      <c r="N87" s="21"/>
      <c r="O87" s="21"/>
      <c r="P87" s="47">
        <f t="shared" si="1"/>
        <v>0</v>
      </c>
      <c r="R87" s="48"/>
    </row>
    <row r="88" s="5" customFormat="1" spans="1:18">
      <c r="A88" s="52"/>
      <c r="B88" s="26" t="s">
        <v>171</v>
      </c>
      <c r="C88" s="33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46"/>
      <c r="L88" s="21"/>
      <c r="M88" s="21"/>
      <c r="N88" s="21"/>
      <c r="O88" s="21"/>
      <c r="P88" s="47">
        <f t="shared" si="1"/>
        <v>0</v>
      </c>
      <c r="R88" s="48"/>
    </row>
    <row r="89" s="5" customFormat="1" spans="1:18">
      <c r="A89" s="52"/>
      <c r="B89" s="19" t="s">
        <v>172</v>
      </c>
      <c r="C89" s="32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46"/>
      <c r="L89" s="21"/>
      <c r="M89" s="21"/>
      <c r="N89" s="21"/>
      <c r="O89" s="21"/>
      <c r="P89" s="47">
        <f t="shared" si="1"/>
        <v>0</v>
      </c>
      <c r="R89" s="48"/>
    </row>
    <row r="90" s="5" customFormat="1" spans="1:18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>
        <v>0</v>
      </c>
      <c r="H90" s="21"/>
      <c r="I90" s="21"/>
      <c r="J90" s="21"/>
      <c r="K90" s="46"/>
      <c r="L90" s="21"/>
      <c r="M90" s="21"/>
      <c r="N90" s="21"/>
      <c r="O90" s="21"/>
      <c r="P90" s="47">
        <f t="shared" si="1"/>
        <v>0</v>
      </c>
      <c r="R90" s="48"/>
    </row>
    <row r="91" s="5" customFormat="1" spans="1:18">
      <c r="A91" s="54"/>
      <c r="B91" s="23" t="s">
        <v>175</v>
      </c>
      <c r="C91" s="55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46"/>
      <c r="L91" s="21"/>
      <c r="M91" s="21"/>
      <c r="N91" s="21"/>
      <c r="O91" s="21"/>
      <c r="P91" s="47">
        <f t="shared" si="1"/>
        <v>0</v>
      </c>
      <c r="R91" s="48"/>
    </row>
    <row r="92" s="5" customFormat="1" spans="1:18">
      <c r="A92" s="56"/>
      <c r="B92" s="26" t="s">
        <v>83</v>
      </c>
      <c r="C92" s="33" t="s">
        <v>83</v>
      </c>
      <c r="D92" s="21"/>
      <c r="E92" s="21"/>
      <c r="F92" s="21"/>
      <c r="G92" s="21">
        <v>0</v>
      </c>
      <c r="H92" s="21"/>
      <c r="I92" s="21"/>
      <c r="J92" s="21"/>
      <c r="K92" s="46"/>
      <c r="L92" s="21"/>
      <c r="M92" s="21"/>
      <c r="N92" s="21"/>
      <c r="O92" s="21"/>
      <c r="P92" s="47">
        <f t="shared" si="1"/>
        <v>0</v>
      </c>
      <c r="R92" s="48"/>
    </row>
    <row r="93" s="6" customFormat="1" spans="1:18">
      <c r="A93" s="57" t="s">
        <v>12</v>
      </c>
      <c r="B93" s="57"/>
      <c r="C93" s="57"/>
      <c r="D93" s="58">
        <f>SUM(D6:D92)</f>
        <v>4240543.1</v>
      </c>
      <c r="E93" s="58">
        <f t="shared" ref="E93:P93" si="2">SUM(E6:E92)</f>
        <v>3066613.52</v>
      </c>
      <c r="F93" s="58">
        <f t="shared" si="2"/>
        <v>7262681.78</v>
      </c>
      <c r="G93" s="58">
        <f t="shared" si="2"/>
        <v>7776341.37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22346179.77</v>
      </c>
      <c r="Q93" s="58"/>
      <c r="R93" s="58"/>
    </row>
    <row r="94" s="7" customFormat="1" customHeight="1" spans="1:18">
      <c r="A94" s="61" t="s">
        <v>244</v>
      </c>
      <c r="B94" s="62"/>
      <c r="C94" s="63"/>
      <c r="D94" s="235">
        <f>D93-D95</f>
        <v>627076.439999992</v>
      </c>
      <c r="E94" s="235">
        <f>E93-E95</f>
        <v>283969.359999999</v>
      </c>
      <c r="F94" s="236">
        <v>2235973.36</v>
      </c>
      <c r="G94" s="236">
        <v>79873.73</v>
      </c>
      <c r="H94" s="236"/>
      <c r="I94" s="236"/>
      <c r="J94" s="236"/>
      <c r="K94" s="46"/>
      <c r="L94" s="293"/>
      <c r="M94" s="293"/>
      <c r="N94" s="300"/>
      <c r="O94" s="236"/>
      <c r="P94" s="47">
        <f t="shared" si="1"/>
        <v>3226892.88999999</v>
      </c>
      <c r="R94" s="48"/>
    </row>
    <row r="95" s="7" customFormat="1" customHeight="1" spans="1:18">
      <c r="A95" s="61" t="s">
        <v>245</v>
      </c>
      <c r="B95" s="62"/>
      <c r="C95" s="63"/>
      <c r="D95" s="235">
        <v>3613466.66000001</v>
      </c>
      <c r="E95" s="236">
        <v>2782644.16</v>
      </c>
      <c r="F95" s="236">
        <v>5026708.42</v>
      </c>
      <c r="G95" s="236">
        <v>7696467.64</v>
      </c>
      <c r="H95" s="236"/>
      <c r="I95" s="236"/>
      <c r="J95" s="236"/>
      <c r="K95" s="74"/>
      <c r="L95" s="293"/>
      <c r="M95" s="293"/>
      <c r="N95" s="300"/>
      <c r="O95" s="236"/>
      <c r="P95" s="47">
        <f t="shared" si="1"/>
        <v>19119286.88</v>
      </c>
      <c r="Q95" s="91"/>
      <c r="R95" s="48"/>
    </row>
    <row r="96" s="7" customFormat="1" customHeight="1" spans="1:18">
      <c r="A96" s="61" t="s">
        <v>179</v>
      </c>
      <c r="B96" s="62"/>
      <c r="C96" s="63"/>
      <c r="D96" s="47"/>
      <c r="E96" s="293"/>
      <c r="F96" s="293"/>
      <c r="G96" s="293"/>
      <c r="H96" s="293"/>
      <c r="I96" s="293"/>
      <c r="J96" s="293"/>
      <c r="K96" s="46"/>
      <c r="L96" s="293"/>
      <c r="M96" s="293"/>
      <c r="N96" s="293"/>
      <c r="O96" s="300"/>
      <c r="P96" s="47">
        <f t="shared" si="1"/>
        <v>0</v>
      </c>
      <c r="Q96" s="91"/>
      <c r="R96" s="48"/>
    </row>
    <row r="97" s="7" customFormat="1" customHeight="1" spans="1:18">
      <c r="A97" s="296" t="s">
        <v>265</v>
      </c>
      <c r="B97" s="297"/>
      <c r="C97" s="298"/>
      <c r="D97" s="47"/>
      <c r="E97" s="47"/>
      <c r="F97" s="293"/>
      <c r="G97" s="293"/>
      <c r="H97" s="47"/>
      <c r="I97" s="47"/>
      <c r="J97" s="47"/>
      <c r="K97" s="46"/>
      <c r="L97" s="47"/>
      <c r="M97" s="47"/>
      <c r="N97" s="47"/>
      <c r="O97" s="300"/>
      <c r="P97" s="47">
        <f t="shared" si="1"/>
        <v>0</v>
      </c>
      <c r="R97" s="48"/>
    </row>
    <row r="98" s="7" customFormat="1" customHeight="1" spans="1:18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47">
        <f t="shared" si="1"/>
        <v>0</v>
      </c>
      <c r="R98" s="48"/>
    </row>
    <row r="99" s="190" customFormat="1" spans="1:18">
      <c r="A99" s="190" t="s">
        <v>181</v>
      </c>
      <c r="R99" s="48"/>
    </row>
    <row r="100" spans="4:16">
      <c r="D100" s="90" t="str">
        <f>IF(SUM(D94:D98)=D93,"ok","no")</f>
        <v>ok</v>
      </c>
      <c r="E100" s="90" t="str">
        <f t="shared" ref="E100:P100" si="4">IF(SUM(E94:E98)=E93,"ok","no")</f>
        <v>ok</v>
      </c>
      <c r="F100" s="90" t="str">
        <f t="shared" si="4"/>
        <v>ok</v>
      </c>
      <c r="G100" s="90" t="str">
        <f t="shared" si="4"/>
        <v>ok</v>
      </c>
      <c r="H100" s="90" t="str">
        <f t="shared" si="4"/>
        <v>ok</v>
      </c>
      <c r="I100" s="90" t="str">
        <f t="shared" si="4"/>
        <v>ok</v>
      </c>
      <c r="J100" s="90" t="str">
        <f t="shared" si="4"/>
        <v>ok</v>
      </c>
      <c r="K100" s="90" t="str">
        <f t="shared" si="4"/>
        <v>ok</v>
      </c>
      <c r="L100" s="90" t="str">
        <f t="shared" si="4"/>
        <v>ok</v>
      </c>
      <c r="M100" s="90" t="str">
        <f t="shared" si="4"/>
        <v>ok</v>
      </c>
      <c r="N100" s="90" t="str">
        <f t="shared" si="4"/>
        <v>ok</v>
      </c>
      <c r="O100" s="90" t="str">
        <f t="shared" si="4"/>
        <v>ok</v>
      </c>
      <c r="P100" s="90" t="str">
        <f t="shared" si="4"/>
        <v>ok</v>
      </c>
    </row>
    <row r="102" spans="4:16">
      <c r="D102" s="68">
        <f>D93-'G-九江'!D91</f>
        <v>0</v>
      </c>
      <c r="E102" s="68">
        <f>E93-'G-九江'!E91</f>
        <v>0</v>
      </c>
      <c r="F102" s="68">
        <f>F93-'G-九江'!F91</f>
        <v>0</v>
      </c>
      <c r="G102" s="68">
        <f>G93-'G-九江'!G91</f>
        <v>8.38190317153931e-9</v>
      </c>
      <c r="H102" s="68">
        <f>H93-'G-九江'!H91</f>
        <v>-51.365959</v>
      </c>
      <c r="I102" s="68">
        <f>I93-'G-九江'!I91</f>
        <v>0</v>
      </c>
      <c r="J102" s="68">
        <f>J93-'G-九江'!J91</f>
        <v>0</v>
      </c>
      <c r="K102" s="68">
        <f>K93-'G-九江'!K91</f>
        <v>0</v>
      </c>
      <c r="L102" s="68">
        <f>L93-'G-九江'!L91</f>
        <v>0</v>
      </c>
      <c r="M102" s="68">
        <f>M93-'G-九江'!M91</f>
        <v>0</v>
      </c>
      <c r="N102" s="68">
        <f>N93-'G-九江'!N91</f>
        <v>0</v>
      </c>
      <c r="O102" s="68">
        <f>O93-'G-九江'!O91</f>
        <v>0</v>
      </c>
      <c r="P102" s="68">
        <f>P93-'G-九江'!P91</f>
        <v>-51.3659589923918</v>
      </c>
    </row>
    <row r="103" spans="4:6">
      <c r="D103" s="96"/>
      <c r="F103" s="96"/>
    </row>
    <row r="104" spans="6:16">
      <c r="F104" s="68"/>
      <c r="P104" s="68"/>
    </row>
    <row r="105" spans="6:6">
      <c r="F105" s="68"/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K30" sqref="K30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2.875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274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/>
      <c r="H94" s="293"/>
      <c r="I94" s="46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100"/>
      <c r="E95" s="293"/>
      <c r="F95" s="293"/>
      <c r="G95" s="293"/>
      <c r="H95" s="293"/>
      <c r="I95" s="46"/>
      <c r="J95" s="293"/>
      <c r="K95" s="293"/>
      <c r="L95" s="293"/>
      <c r="M95" s="293"/>
      <c r="N95" s="293"/>
      <c r="O95" s="293"/>
      <c r="P95" s="293"/>
    </row>
    <row r="96" s="7" customFormat="1" ht="12.75" spans="1:16">
      <c r="A96" s="61" t="s">
        <v>179</v>
      </c>
      <c r="B96" s="62"/>
      <c r="C96" s="63"/>
      <c r="D96" s="301"/>
      <c r="E96" s="301"/>
      <c r="F96" s="301"/>
      <c r="G96" s="301"/>
      <c r="H96" s="301"/>
      <c r="I96" s="74"/>
      <c r="J96" s="301"/>
      <c r="K96" s="301"/>
      <c r="L96" s="301"/>
      <c r="M96" s="301"/>
      <c r="N96" s="301"/>
      <c r="O96" s="301"/>
      <c r="P96" s="47">
        <f t="shared" ref="P96" si="3">SUM(D96:O96)</f>
        <v>0</v>
      </c>
    </row>
    <row r="97" s="7" customFormat="1" ht="12.75" spans="1:16">
      <c r="A97" s="296" t="s">
        <v>265</v>
      </c>
      <c r="B97" s="297"/>
      <c r="C97" s="298"/>
      <c r="D97" s="294"/>
      <c r="E97" s="293"/>
      <c r="F97" s="293"/>
      <c r="G97" s="293"/>
      <c r="H97" s="293"/>
      <c r="I97" s="293"/>
      <c r="J97" s="293"/>
      <c r="K97" s="293"/>
      <c r="L97" s="293"/>
      <c r="M97" s="293"/>
      <c r="N97" s="293"/>
      <c r="O97" s="293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190" customFormat="1" ht="13.5" spans="1:7">
      <c r="A99" s="190" t="s">
        <v>181</v>
      </c>
      <c r="G99" s="299">
        <f>G93-G94-G95-G96-G97</f>
        <v>0</v>
      </c>
    </row>
    <row r="100" spans="4:16">
      <c r="D100" s="90" t="str">
        <f>IF(SUM('G-安徽天孚'!D91)=D93,"ok","no")</f>
        <v>ok</v>
      </c>
      <c r="E100" s="90" t="str">
        <f>IF(SUM('G-安徽天孚'!E91)=E93,"ok","no")</f>
        <v>ok</v>
      </c>
      <c r="F100" s="90" t="str">
        <f>IF(SUM('G-安徽天孚'!F91)=F93,"ok","no")</f>
        <v>ok</v>
      </c>
      <c r="G100" s="90" t="str">
        <f>IF(SUM('G-安徽天孚'!G91)=G93,"ok","no")</f>
        <v>ok</v>
      </c>
      <c r="H100" s="90" t="str">
        <f>IF(SUM('G-安徽天孚'!H91)=H93,"ok","no")</f>
        <v>ok</v>
      </c>
      <c r="I100" s="90" t="str">
        <f>IF(SUM('G-安徽天孚'!I91)=I93,"ok","no")</f>
        <v>ok</v>
      </c>
      <c r="J100" s="90" t="str">
        <f>IF(SUM('G-安徽天孚'!J91)=J93,"ok","no")</f>
        <v>ok</v>
      </c>
      <c r="K100" s="90" t="str">
        <f>IF(SUM('G-安徽天孚'!K91)=K93,"ok","no")</f>
        <v>ok</v>
      </c>
      <c r="L100" s="90" t="str">
        <f>IF(SUM('G-安徽天孚'!L91)=L93,"ok","no")</f>
        <v>ok</v>
      </c>
      <c r="M100" s="90" t="str">
        <f>IF(SUM('G-安徽天孚'!M91)=M93,"ok","no")</f>
        <v>ok</v>
      </c>
      <c r="N100" s="90" t="str">
        <f>IF(SUM('G-安徽天孚'!N91)=N93,"ok","no")</f>
        <v>ok</v>
      </c>
      <c r="O100" s="90" t="str">
        <f>IF(SUM('G-安徽天孚'!O91)=O93,"ok","no")</f>
        <v>ok</v>
      </c>
      <c r="P100" s="90" t="str">
        <f>IF(SUM('G-安徽天孚'!P91)=P93,"ok","no")</f>
        <v>ok</v>
      </c>
    </row>
    <row r="102" spans="7:7">
      <c r="G102" s="68"/>
    </row>
  </sheetData>
  <mergeCells count="37">
    <mergeCell ref="A1:D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5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5" width="13.875" style="10" customWidth="1"/>
    <col min="6" max="6" width="12.75" style="10" customWidth="1"/>
    <col min="7" max="7" width="17.25" style="10" customWidth="1"/>
    <col min="8" max="12" width="11.5" style="10" customWidth="1"/>
    <col min="13" max="15" width="12.75" style="10" customWidth="1"/>
    <col min="16" max="16" width="11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275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>
        <v>44276.19</v>
      </c>
      <c r="E6" s="21">
        <v>16622.92</v>
      </c>
      <c r="F6" s="21">
        <v>25635.76</v>
      </c>
      <c r="G6" s="21">
        <v>61150.08</v>
      </c>
      <c r="H6" s="21"/>
      <c r="I6" s="21"/>
      <c r="J6" s="21"/>
      <c r="K6" s="21"/>
      <c r="L6" s="21"/>
      <c r="M6" s="21"/>
      <c r="N6" s="21"/>
      <c r="O6" s="21"/>
      <c r="P6" s="47">
        <f>SUM(D6:O6)</f>
        <v>147684.95</v>
      </c>
      <c r="Q6" s="48">
        <f>P6+P7+P8+P19+P22+P23+P24+P25+P26</f>
        <v>159020.33</v>
      </c>
    </row>
    <row r="7" s="5" customFormat="1" spans="1:16">
      <c r="A7" s="22"/>
      <c r="B7" s="23"/>
      <c r="C7" s="20" t="s">
        <v>71</v>
      </c>
      <c r="D7" s="21">
        <v>-1906.6</v>
      </c>
      <c r="E7" s="21">
        <v>1934</v>
      </c>
      <c r="F7" s="21">
        <v>2284</v>
      </c>
      <c r="G7" s="21">
        <v>2284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4595.4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>
        <v>660</v>
      </c>
      <c r="G12" s="21">
        <v>925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1585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>
        <v>200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200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>
        <v>672</v>
      </c>
      <c r="E19" s="21">
        <v>672</v>
      </c>
      <c r="F19" s="21">
        <v>672</v>
      </c>
      <c r="G19" s="21">
        <v>672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2688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>
        <v>1005.44</v>
      </c>
      <c r="E22" s="21">
        <v>1005.44</v>
      </c>
      <c r="F22" s="21">
        <v>-1005.44</v>
      </c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1005.44</v>
      </c>
    </row>
    <row r="23" s="5" customFormat="1" spans="1:16">
      <c r="A23" s="22"/>
      <c r="B23" s="24"/>
      <c r="C23" s="25" t="s">
        <v>89</v>
      </c>
      <c r="D23" s="21">
        <v>31.44</v>
      </c>
      <c r="E23" s="21">
        <v>31.44</v>
      </c>
      <c r="F23" s="21">
        <v>-31.44</v>
      </c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31.44</v>
      </c>
    </row>
    <row r="24" s="5" customFormat="1" spans="1:16">
      <c r="A24" s="22"/>
      <c r="B24" s="24"/>
      <c r="C24" s="25" t="s">
        <v>90</v>
      </c>
      <c r="D24" s="21">
        <v>98.88</v>
      </c>
      <c r="E24" s="21">
        <v>98.88</v>
      </c>
      <c r="F24" s="21">
        <v>-98.88</v>
      </c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98.88</v>
      </c>
    </row>
    <row r="25" s="5" customFormat="1" spans="1:16">
      <c r="A25" s="22"/>
      <c r="B25" s="24"/>
      <c r="C25" s="25" t="s">
        <v>91</v>
      </c>
      <c r="D25" s="21">
        <v>1082.56</v>
      </c>
      <c r="E25" s="21">
        <v>1082.56</v>
      </c>
      <c r="F25" s="21"/>
      <c r="G25" s="21">
        <v>541.28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2706.4</v>
      </c>
    </row>
    <row r="26" s="5" customFormat="1" spans="1:16">
      <c r="A26" s="22"/>
      <c r="B26" s="23"/>
      <c r="C26" s="25" t="s">
        <v>92</v>
      </c>
      <c r="D26" s="21">
        <v>67.68</v>
      </c>
      <c r="E26" s="21">
        <v>67.68</v>
      </c>
      <c r="F26" s="21">
        <v>27.08</v>
      </c>
      <c r="G26" s="21">
        <v>47.38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209.82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>
        <v>468.14</v>
      </c>
      <c r="E29" s="21"/>
      <c r="F29" s="21"/>
      <c r="G29" s="21">
        <v>554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1022.14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>
        <v>5600</v>
      </c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5600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>
        <v>4646.02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47">
        <f t="shared" si="0"/>
        <v>4646.02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>
        <v>9666.19</v>
      </c>
      <c r="E46" s="21">
        <v>9666.21</v>
      </c>
      <c r="F46" s="21">
        <v>9666.2</v>
      </c>
      <c r="G46" s="21">
        <v>9666.21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38664.81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>
        <v>56475.7</v>
      </c>
      <c r="E49" s="21">
        <v>88019.29</v>
      </c>
      <c r="F49" s="21">
        <v>-10455.81</v>
      </c>
      <c r="G49" s="21">
        <v>38979.32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173018.5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>
        <v>4948.4</v>
      </c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4948.4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>
        <v>985.02</v>
      </c>
      <c r="E65" s="21">
        <v>1040.04</v>
      </c>
      <c r="F65" s="21">
        <v>1778.32</v>
      </c>
      <c r="G65" s="21">
        <v>1956.15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5759.53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>
        <v>492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492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112922.64</v>
      </c>
      <c r="E93" s="58">
        <f t="shared" ref="E93:P93" si="2">SUM(E6:E92)</f>
        <v>124886.48</v>
      </c>
      <c r="F93" s="58">
        <f t="shared" si="2"/>
        <v>39680.19</v>
      </c>
      <c r="G93" s="58">
        <f t="shared" si="2"/>
        <v>117467.42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394956.73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235">
        <f>D93</f>
        <v>112922.64</v>
      </c>
      <c r="E95" s="235">
        <f t="shared" ref="E95:P95" si="3">E93</f>
        <v>124886.48</v>
      </c>
      <c r="F95" s="235">
        <f t="shared" si="3"/>
        <v>39680.19</v>
      </c>
      <c r="G95" s="235">
        <f t="shared" si="3"/>
        <v>117467.42</v>
      </c>
      <c r="H95" s="235">
        <f t="shared" si="3"/>
        <v>0</v>
      </c>
      <c r="I95" s="235">
        <f t="shared" si="3"/>
        <v>0</v>
      </c>
      <c r="J95" s="235">
        <f t="shared" si="3"/>
        <v>0</v>
      </c>
      <c r="K95" s="235">
        <f t="shared" si="3"/>
        <v>0</v>
      </c>
      <c r="L95" s="235">
        <f t="shared" si="3"/>
        <v>0</v>
      </c>
      <c r="M95" s="235">
        <f t="shared" si="3"/>
        <v>0</v>
      </c>
      <c r="N95" s="235">
        <f t="shared" si="3"/>
        <v>0</v>
      </c>
      <c r="O95" s="235">
        <f t="shared" si="3"/>
        <v>0</v>
      </c>
      <c r="P95" s="235">
        <f t="shared" si="3"/>
        <v>394956.73</v>
      </c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293"/>
    </row>
    <row r="97" s="7" customFormat="1" ht="12.75" spans="1:16">
      <c r="A97" s="296" t="s">
        <v>265</v>
      </c>
      <c r="B97" s="297"/>
      <c r="C97" s="298"/>
      <c r="D97" s="294"/>
      <c r="E97" s="295"/>
      <c r="F97" s="295"/>
      <c r="G97" s="293"/>
      <c r="H97" s="293"/>
      <c r="I97" s="293"/>
      <c r="J97" s="293"/>
      <c r="K97" s="293"/>
      <c r="L97" s="293"/>
      <c r="M97" s="293"/>
      <c r="N97" s="293"/>
      <c r="O97" s="293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7" customFormat="1" ht="12.75" spans="1:16">
      <c r="A99" s="296"/>
      <c r="B99" s="297"/>
      <c r="C99" s="298"/>
      <c r="D99" s="294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</row>
    <row r="100" s="7" customFormat="1" ht="12.75" spans="1:16">
      <c r="A100" s="296"/>
      <c r="B100" s="297"/>
      <c r="C100" s="298"/>
      <c r="D100" s="294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</row>
    <row r="101" s="190" customFormat="1" ht="13.5" spans="1:1">
      <c r="A101" s="190" t="s">
        <v>181</v>
      </c>
    </row>
    <row r="102" spans="4:14">
      <c r="D102" s="90" t="str">
        <f>IF(SUM(D94:D97)=D93,"ok","no")</f>
        <v>ok</v>
      </c>
      <c r="E102" s="90" t="str">
        <f t="shared" ref="E102:G102" si="4">IF(SUM(E94:E97)=E93,"ok","no")</f>
        <v>ok</v>
      </c>
      <c r="F102" s="90" t="str">
        <f t="shared" si="4"/>
        <v>ok</v>
      </c>
      <c r="G102" s="90" t="str">
        <f t="shared" si="4"/>
        <v>ok</v>
      </c>
      <c r="N102" s="68"/>
    </row>
    <row r="103" spans="4:7">
      <c r="D103" s="68">
        <f>D95</f>
        <v>112922.64</v>
      </c>
      <c r="E103" s="10" t="b">
        <f>E95='G-宁德'!E91</f>
        <v>1</v>
      </c>
      <c r="F103" s="10" t="b">
        <f>F95='G-宁德'!F91</f>
        <v>1</v>
      </c>
      <c r="G103" s="10" t="b">
        <f>G95='G-宁德'!G91</f>
        <v>1</v>
      </c>
    </row>
    <row r="104" spans="5:7">
      <c r="E104" s="68"/>
      <c r="F104" s="68"/>
      <c r="G104" s="68"/>
    </row>
    <row r="105" spans="4:4">
      <c r="D105" s="68"/>
    </row>
  </sheetData>
  <mergeCells count="39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1" activePane="bottomRight" state="frozen"/>
      <selection/>
      <selection pane="topRight"/>
      <selection pane="bottomLeft"/>
      <selection pane="bottomRight" activeCell="G85" sqref="G85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1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276</v>
      </c>
      <c r="B1" s="69"/>
      <c r="C1" s="69"/>
      <c r="D1" s="69"/>
    </row>
    <row r="2" s="2" customFormat="1" spans="1:1">
      <c r="A2" s="2" t="s">
        <v>64</v>
      </c>
    </row>
    <row r="3" s="3" customFormat="1" ht="13.5" spans="1:6">
      <c r="A3" s="12" t="str">
        <f>'G-高新'!A3</f>
        <v>编制期间：2020年4月</v>
      </c>
      <c r="F3" s="3" t="s">
        <v>272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>
        <v>42681.07</v>
      </c>
      <c r="E6" s="21">
        <v>23315.9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47">
        <f>SUM(D6:O6)</f>
        <v>65996.97</v>
      </c>
      <c r="Q6" s="48">
        <f>P6+P7+P8+P19+P22+P23+P24+P25+P26</f>
        <v>146752.44</v>
      </c>
    </row>
    <row r="7" s="5" customFormat="1" spans="1:16">
      <c r="A7" s="22"/>
      <c r="B7" s="23"/>
      <c r="C7" s="20" t="s">
        <v>71</v>
      </c>
      <c r="D7" s="21">
        <v>47978.75</v>
      </c>
      <c r="E7" s="21">
        <v>5905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53883.75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>
        <v>1913</v>
      </c>
      <c r="E19" s="21">
        <v>1913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47">
        <f t="shared" si="0"/>
        <v>3826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>
        <v>6667.84</v>
      </c>
      <c r="E22" s="21">
        <v>6667.84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13335.68</v>
      </c>
    </row>
    <row r="23" s="5" customFormat="1" spans="1:16">
      <c r="A23" s="22"/>
      <c r="B23" s="24"/>
      <c r="C23" s="25" t="s">
        <v>89</v>
      </c>
      <c r="D23" s="21">
        <v>208.37</v>
      </c>
      <c r="E23" s="21">
        <v>208.37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416.74</v>
      </c>
    </row>
    <row r="24" s="5" customFormat="1" spans="1:16">
      <c r="A24" s="22"/>
      <c r="B24" s="24"/>
      <c r="C24" s="25" t="s">
        <v>90</v>
      </c>
      <c r="D24" s="21">
        <v>270.88</v>
      </c>
      <c r="E24" s="21">
        <v>270.88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541.76</v>
      </c>
    </row>
    <row r="25" s="5" customFormat="1" spans="1:16">
      <c r="A25" s="22"/>
      <c r="B25" s="24"/>
      <c r="C25" s="25" t="s">
        <v>91</v>
      </c>
      <c r="D25" s="21">
        <v>4167.4</v>
      </c>
      <c r="E25" s="21">
        <v>4167.4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47">
        <f t="shared" si="0"/>
        <v>8334.8</v>
      </c>
    </row>
    <row r="26" s="5" customFormat="1" spans="1:16">
      <c r="A26" s="22"/>
      <c r="B26" s="23"/>
      <c r="C26" s="25" t="s">
        <v>92</v>
      </c>
      <c r="D26" s="21">
        <v>208.37</v>
      </c>
      <c r="E26" s="21">
        <v>208.37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47">
        <f t="shared" si="0"/>
        <v>416.74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>
        <v>459.44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47">
        <f t="shared" si="0"/>
        <v>459.44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>
        <v>100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100</v>
      </c>
    </row>
    <row r="34" s="5" customFormat="1" spans="1:16">
      <c r="A34" s="28"/>
      <c r="B34" s="19" t="s">
        <v>103</v>
      </c>
      <c r="C34" s="25" t="s">
        <v>104</v>
      </c>
      <c r="D34" s="21">
        <v>-2640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-2640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>
        <v>-6000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47">
        <f t="shared" si="0"/>
        <v>-6000</v>
      </c>
    </row>
    <row r="42" s="5" customFormat="1" spans="1:16">
      <c r="A42" s="31"/>
      <c r="B42" s="19" t="s">
        <v>114</v>
      </c>
      <c r="C42" s="32" t="s">
        <v>114</v>
      </c>
      <c r="D42" s="21">
        <v>-1000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47">
        <f t="shared" si="0"/>
        <v>-1000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>
        <v>7043.11</v>
      </c>
      <c r="E46" s="21">
        <v>6996.89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47">
        <f t="shared" si="0"/>
        <v>14040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>
        <v>30275.48</v>
      </c>
      <c r="E49" s="21">
        <v>31013.43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47">
        <f t="shared" si="0"/>
        <v>61288.91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>
        <v>18350.2</v>
      </c>
      <c r="E65" s="21">
        <v>15759.78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47">
        <f t="shared" si="0"/>
        <v>34109.98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150683.91</v>
      </c>
      <c r="E93" s="58">
        <f t="shared" ref="E93:G93" si="2">SUM(E6:E92)</f>
        <v>96426.86</v>
      </c>
      <c r="F93" s="58">
        <f t="shared" si="2"/>
        <v>0</v>
      </c>
      <c r="G93" s="58">
        <f t="shared" si="2"/>
        <v>0</v>
      </c>
      <c r="H93" s="58">
        <f t="shared" ref="H93:P93" si="3">SUM(H6:H92)</f>
        <v>0</v>
      </c>
      <c r="I93" s="58">
        <f t="shared" si="3"/>
        <v>0</v>
      </c>
      <c r="J93" s="58">
        <f t="shared" si="3"/>
        <v>0</v>
      </c>
      <c r="K93" s="58">
        <f t="shared" si="3"/>
        <v>0</v>
      </c>
      <c r="L93" s="58">
        <f t="shared" si="3"/>
        <v>0</v>
      </c>
      <c r="M93" s="58">
        <f t="shared" si="3"/>
        <v>0</v>
      </c>
      <c r="N93" s="58">
        <f t="shared" si="3"/>
        <v>0</v>
      </c>
      <c r="O93" s="58">
        <f t="shared" si="3"/>
        <v>0</v>
      </c>
      <c r="P93" s="58">
        <f t="shared" si="3"/>
        <v>247110.77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/>
      <c r="H94" s="293"/>
      <c r="I94" s="236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100">
        <v>150683.91</v>
      </c>
      <c r="E95" s="300">
        <f>E93</f>
        <v>96426.86</v>
      </c>
      <c r="F95" s="300"/>
      <c r="G95" s="300"/>
      <c r="H95" s="293"/>
      <c r="I95" s="295"/>
      <c r="J95" s="295"/>
      <c r="K95" s="295"/>
      <c r="L95" s="295"/>
      <c r="M95" s="295"/>
      <c r="N95" s="295"/>
      <c r="O95" s="58"/>
      <c r="P95" s="293"/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293"/>
    </row>
    <row r="97" s="7" customFormat="1" ht="12.75" spans="1:16">
      <c r="A97" s="296" t="s">
        <v>265</v>
      </c>
      <c r="B97" s="297"/>
      <c r="C97" s="298"/>
      <c r="D97" s="301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7" customFormat="1" ht="12.75" spans="1:16">
      <c r="A99" s="296"/>
      <c r="B99" s="297"/>
      <c r="C99" s="298"/>
      <c r="D99" s="294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</row>
    <row r="100" s="7" customFormat="1" ht="12.75" spans="1:16">
      <c r="A100" s="296"/>
      <c r="B100" s="297"/>
      <c r="C100" s="298"/>
      <c r="D100" s="294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</row>
    <row r="101" s="190" customFormat="1" spans="1:7">
      <c r="A101" s="190" t="s">
        <v>181</v>
      </c>
      <c r="G101" s="90"/>
    </row>
    <row r="102" spans="4:14">
      <c r="D102" s="10" t="b">
        <f>D93='G-天津'!D91</f>
        <v>1</v>
      </c>
      <c r="E102" s="10" t="b">
        <f>E93='G-天津'!E91</f>
        <v>1</v>
      </c>
      <c r="F102" s="10" t="b">
        <f>F93='G-天津'!F91</f>
        <v>1</v>
      </c>
      <c r="G102" s="10" t="b">
        <f>G93='G-天津'!G91</f>
        <v>1</v>
      </c>
      <c r="N102" s="68">
        <f>N93-'G-天津'!N91</f>
        <v>0</v>
      </c>
    </row>
  </sheetData>
  <mergeCells count="39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3.25" style="10" customWidth="1"/>
    <col min="2" max="2" width="16.375" style="10" customWidth="1"/>
    <col min="3" max="3" width="13" style="10" customWidth="1"/>
    <col min="4" max="4" width="13.25" style="10" customWidth="1"/>
    <col min="5" max="12" width="11.5" style="10" customWidth="1"/>
    <col min="13" max="15" width="12.75" style="10" customWidth="1"/>
    <col min="16" max="16" width="10" style="10" customWidth="1"/>
    <col min="17" max="245" width="9" style="10"/>
    <col min="246" max="246" width="13.25" style="10" customWidth="1"/>
    <col min="247" max="247" width="16.375" style="10" customWidth="1"/>
    <col min="248" max="248" width="13" style="10" customWidth="1"/>
    <col min="249" max="249" width="13.25" style="10" customWidth="1"/>
    <col min="250" max="250" width="13.5" style="10" customWidth="1"/>
    <col min="251" max="252" width="12.375" style="10" customWidth="1"/>
    <col min="253" max="253" width="16.75" style="10" customWidth="1"/>
    <col min="254" max="254" width="13.5" style="10" customWidth="1"/>
    <col min="255" max="256" width="13.375" style="10" customWidth="1"/>
    <col min="257" max="258" width="14" style="10" customWidth="1"/>
    <col min="259" max="259" width="36.625" style="10" customWidth="1"/>
    <col min="260" max="260" width="14.375" style="10" customWidth="1"/>
    <col min="261" max="501" width="9" style="10"/>
    <col min="502" max="502" width="13.25" style="10" customWidth="1"/>
    <col min="503" max="503" width="16.375" style="10" customWidth="1"/>
    <col min="504" max="504" width="13" style="10" customWidth="1"/>
    <col min="505" max="505" width="13.25" style="10" customWidth="1"/>
    <col min="506" max="506" width="13.5" style="10" customWidth="1"/>
    <col min="507" max="508" width="12.375" style="10" customWidth="1"/>
    <col min="509" max="509" width="16.75" style="10" customWidth="1"/>
    <col min="510" max="510" width="13.5" style="10" customWidth="1"/>
    <col min="511" max="512" width="13.375" style="10" customWidth="1"/>
    <col min="513" max="514" width="14" style="10" customWidth="1"/>
    <col min="515" max="515" width="36.625" style="10" customWidth="1"/>
    <col min="516" max="516" width="14.375" style="10" customWidth="1"/>
    <col min="517" max="757" width="9" style="10"/>
    <col min="758" max="758" width="13.25" style="10" customWidth="1"/>
    <col min="759" max="759" width="16.375" style="10" customWidth="1"/>
    <col min="760" max="760" width="13" style="10" customWidth="1"/>
    <col min="761" max="761" width="13.25" style="10" customWidth="1"/>
    <col min="762" max="762" width="13.5" style="10" customWidth="1"/>
    <col min="763" max="764" width="12.375" style="10" customWidth="1"/>
    <col min="765" max="765" width="16.75" style="10" customWidth="1"/>
    <col min="766" max="766" width="13.5" style="10" customWidth="1"/>
    <col min="767" max="768" width="13.375" style="10" customWidth="1"/>
    <col min="769" max="770" width="14" style="10" customWidth="1"/>
    <col min="771" max="771" width="36.625" style="10" customWidth="1"/>
    <col min="772" max="772" width="14.375" style="10" customWidth="1"/>
    <col min="773" max="1013" width="9" style="10"/>
    <col min="1014" max="1014" width="13.25" style="10" customWidth="1"/>
    <col min="1015" max="1015" width="16.375" style="10" customWidth="1"/>
    <col min="1016" max="1016" width="13" style="10" customWidth="1"/>
    <col min="1017" max="1017" width="13.25" style="10" customWidth="1"/>
    <col min="1018" max="1018" width="13.5" style="10" customWidth="1"/>
    <col min="1019" max="1020" width="12.375" style="10" customWidth="1"/>
    <col min="1021" max="1021" width="16.75" style="10" customWidth="1"/>
    <col min="1022" max="1022" width="13.5" style="10" customWidth="1"/>
    <col min="1023" max="1024" width="13.375" style="10" customWidth="1"/>
    <col min="1025" max="1026" width="14" style="10" customWidth="1"/>
    <col min="1027" max="1027" width="36.625" style="10" customWidth="1"/>
    <col min="1028" max="1028" width="14.375" style="10" customWidth="1"/>
    <col min="1029" max="1269" width="9" style="10"/>
    <col min="1270" max="1270" width="13.25" style="10" customWidth="1"/>
    <col min="1271" max="1271" width="16.375" style="10" customWidth="1"/>
    <col min="1272" max="1272" width="13" style="10" customWidth="1"/>
    <col min="1273" max="1273" width="13.25" style="10" customWidth="1"/>
    <col min="1274" max="1274" width="13.5" style="10" customWidth="1"/>
    <col min="1275" max="1276" width="12.375" style="10" customWidth="1"/>
    <col min="1277" max="1277" width="16.75" style="10" customWidth="1"/>
    <col min="1278" max="1278" width="13.5" style="10" customWidth="1"/>
    <col min="1279" max="1280" width="13.375" style="10" customWidth="1"/>
    <col min="1281" max="1282" width="14" style="10" customWidth="1"/>
    <col min="1283" max="1283" width="36.625" style="10" customWidth="1"/>
    <col min="1284" max="1284" width="14.375" style="10" customWidth="1"/>
    <col min="1285" max="1525" width="9" style="10"/>
    <col min="1526" max="1526" width="13.25" style="10" customWidth="1"/>
    <col min="1527" max="1527" width="16.375" style="10" customWidth="1"/>
    <col min="1528" max="1528" width="13" style="10" customWidth="1"/>
    <col min="1529" max="1529" width="13.25" style="10" customWidth="1"/>
    <col min="1530" max="1530" width="13.5" style="10" customWidth="1"/>
    <col min="1531" max="1532" width="12.375" style="10" customWidth="1"/>
    <col min="1533" max="1533" width="16.75" style="10" customWidth="1"/>
    <col min="1534" max="1534" width="13.5" style="10" customWidth="1"/>
    <col min="1535" max="1536" width="13.375" style="10" customWidth="1"/>
    <col min="1537" max="1538" width="14" style="10" customWidth="1"/>
    <col min="1539" max="1539" width="36.625" style="10" customWidth="1"/>
    <col min="1540" max="1540" width="14.375" style="10" customWidth="1"/>
    <col min="1541" max="1781" width="9" style="10"/>
    <col min="1782" max="1782" width="13.25" style="10" customWidth="1"/>
    <col min="1783" max="1783" width="16.375" style="10" customWidth="1"/>
    <col min="1784" max="1784" width="13" style="10" customWidth="1"/>
    <col min="1785" max="1785" width="13.25" style="10" customWidth="1"/>
    <col min="1786" max="1786" width="13.5" style="10" customWidth="1"/>
    <col min="1787" max="1788" width="12.375" style="10" customWidth="1"/>
    <col min="1789" max="1789" width="16.75" style="10" customWidth="1"/>
    <col min="1790" max="1790" width="13.5" style="10" customWidth="1"/>
    <col min="1791" max="1792" width="13.375" style="10" customWidth="1"/>
    <col min="1793" max="1794" width="14" style="10" customWidth="1"/>
    <col min="1795" max="1795" width="36.625" style="10" customWidth="1"/>
    <col min="1796" max="1796" width="14.375" style="10" customWidth="1"/>
    <col min="1797" max="2037" width="9" style="10"/>
    <col min="2038" max="2038" width="13.25" style="10" customWidth="1"/>
    <col min="2039" max="2039" width="16.375" style="10" customWidth="1"/>
    <col min="2040" max="2040" width="13" style="10" customWidth="1"/>
    <col min="2041" max="2041" width="13.25" style="10" customWidth="1"/>
    <col min="2042" max="2042" width="13.5" style="10" customWidth="1"/>
    <col min="2043" max="2044" width="12.375" style="10" customWidth="1"/>
    <col min="2045" max="2045" width="16.75" style="10" customWidth="1"/>
    <col min="2046" max="2046" width="13.5" style="10" customWidth="1"/>
    <col min="2047" max="2048" width="13.375" style="10" customWidth="1"/>
    <col min="2049" max="2050" width="14" style="10" customWidth="1"/>
    <col min="2051" max="2051" width="36.625" style="10" customWidth="1"/>
    <col min="2052" max="2052" width="14.375" style="10" customWidth="1"/>
    <col min="2053" max="2293" width="9" style="10"/>
    <col min="2294" max="2294" width="13.25" style="10" customWidth="1"/>
    <col min="2295" max="2295" width="16.375" style="10" customWidth="1"/>
    <col min="2296" max="2296" width="13" style="10" customWidth="1"/>
    <col min="2297" max="2297" width="13.25" style="10" customWidth="1"/>
    <col min="2298" max="2298" width="13.5" style="10" customWidth="1"/>
    <col min="2299" max="2300" width="12.375" style="10" customWidth="1"/>
    <col min="2301" max="2301" width="16.75" style="10" customWidth="1"/>
    <col min="2302" max="2302" width="13.5" style="10" customWidth="1"/>
    <col min="2303" max="2304" width="13.375" style="10" customWidth="1"/>
    <col min="2305" max="2306" width="14" style="10" customWidth="1"/>
    <col min="2307" max="2307" width="36.625" style="10" customWidth="1"/>
    <col min="2308" max="2308" width="14.375" style="10" customWidth="1"/>
    <col min="2309" max="2549" width="9" style="10"/>
    <col min="2550" max="2550" width="13.25" style="10" customWidth="1"/>
    <col min="2551" max="2551" width="16.375" style="10" customWidth="1"/>
    <col min="2552" max="2552" width="13" style="10" customWidth="1"/>
    <col min="2553" max="2553" width="13.25" style="10" customWidth="1"/>
    <col min="2554" max="2554" width="13.5" style="10" customWidth="1"/>
    <col min="2555" max="2556" width="12.375" style="10" customWidth="1"/>
    <col min="2557" max="2557" width="16.75" style="10" customWidth="1"/>
    <col min="2558" max="2558" width="13.5" style="10" customWidth="1"/>
    <col min="2559" max="2560" width="13.375" style="10" customWidth="1"/>
    <col min="2561" max="2562" width="14" style="10" customWidth="1"/>
    <col min="2563" max="2563" width="36.625" style="10" customWidth="1"/>
    <col min="2564" max="2564" width="14.375" style="10" customWidth="1"/>
    <col min="2565" max="2805" width="9" style="10"/>
    <col min="2806" max="2806" width="13.25" style="10" customWidth="1"/>
    <col min="2807" max="2807" width="16.375" style="10" customWidth="1"/>
    <col min="2808" max="2808" width="13" style="10" customWidth="1"/>
    <col min="2809" max="2809" width="13.25" style="10" customWidth="1"/>
    <col min="2810" max="2810" width="13.5" style="10" customWidth="1"/>
    <col min="2811" max="2812" width="12.375" style="10" customWidth="1"/>
    <col min="2813" max="2813" width="16.75" style="10" customWidth="1"/>
    <col min="2814" max="2814" width="13.5" style="10" customWidth="1"/>
    <col min="2815" max="2816" width="13.375" style="10" customWidth="1"/>
    <col min="2817" max="2818" width="14" style="10" customWidth="1"/>
    <col min="2819" max="2819" width="36.625" style="10" customWidth="1"/>
    <col min="2820" max="2820" width="14.375" style="10" customWidth="1"/>
    <col min="2821" max="3061" width="9" style="10"/>
    <col min="3062" max="3062" width="13.25" style="10" customWidth="1"/>
    <col min="3063" max="3063" width="16.375" style="10" customWidth="1"/>
    <col min="3064" max="3064" width="13" style="10" customWidth="1"/>
    <col min="3065" max="3065" width="13.25" style="10" customWidth="1"/>
    <col min="3066" max="3066" width="13.5" style="10" customWidth="1"/>
    <col min="3067" max="3068" width="12.375" style="10" customWidth="1"/>
    <col min="3069" max="3069" width="16.75" style="10" customWidth="1"/>
    <col min="3070" max="3070" width="13.5" style="10" customWidth="1"/>
    <col min="3071" max="3072" width="13.375" style="10" customWidth="1"/>
    <col min="3073" max="3074" width="14" style="10" customWidth="1"/>
    <col min="3075" max="3075" width="36.625" style="10" customWidth="1"/>
    <col min="3076" max="3076" width="14.375" style="10" customWidth="1"/>
    <col min="3077" max="3317" width="9" style="10"/>
    <col min="3318" max="3318" width="13.25" style="10" customWidth="1"/>
    <col min="3319" max="3319" width="16.375" style="10" customWidth="1"/>
    <col min="3320" max="3320" width="13" style="10" customWidth="1"/>
    <col min="3321" max="3321" width="13.25" style="10" customWidth="1"/>
    <col min="3322" max="3322" width="13.5" style="10" customWidth="1"/>
    <col min="3323" max="3324" width="12.375" style="10" customWidth="1"/>
    <col min="3325" max="3325" width="16.75" style="10" customWidth="1"/>
    <col min="3326" max="3326" width="13.5" style="10" customWidth="1"/>
    <col min="3327" max="3328" width="13.375" style="10" customWidth="1"/>
    <col min="3329" max="3330" width="14" style="10" customWidth="1"/>
    <col min="3331" max="3331" width="36.625" style="10" customWidth="1"/>
    <col min="3332" max="3332" width="14.375" style="10" customWidth="1"/>
    <col min="3333" max="3573" width="9" style="10"/>
    <col min="3574" max="3574" width="13.25" style="10" customWidth="1"/>
    <col min="3575" max="3575" width="16.375" style="10" customWidth="1"/>
    <col min="3576" max="3576" width="13" style="10" customWidth="1"/>
    <col min="3577" max="3577" width="13.25" style="10" customWidth="1"/>
    <col min="3578" max="3578" width="13.5" style="10" customWidth="1"/>
    <col min="3579" max="3580" width="12.375" style="10" customWidth="1"/>
    <col min="3581" max="3581" width="16.75" style="10" customWidth="1"/>
    <col min="3582" max="3582" width="13.5" style="10" customWidth="1"/>
    <col min="3583" max="3584" width="13.375" style="10" customWidth="1"/>
    <col min="3585" max="3586" width="14" style="10" customWidth="1"/>
    <col min="3587" max="3587" width="36.625" style="10" customWidth="1"/>
    <col min="3588" max="3588" width="14.375" style="10" customWidth="1"/>
    <col min="3589" max="3829" width="9" style="10"/>
    <col min="3830" max="3830" width="13.25" style="10" customWidth="1"/>
    <col min="3831" max="3831" width="16.375" style="10" customWidth="1"/>
    <col min="3832" max="3832" width="13" style="10" customWidth="1"/>
    <col min="3833" max="3833" width="13.25" style="10" customWidth="1"/>
    <col min="3834" max="3834" width="13.5" style="10" customWidth="1"/>
    <col min="3835" max="3836" width="12.375" style="10" customWidth="1"/>
    <col min="3837" max="3837" width="16.75" style="10" customWidth="1"/>
    <col min="3838" max="3838" width="13.5" style="10" customWidth="1"/>
    <col min="3839" max="3840" width="13.375" style="10" customWidth="1"/>
    <col min="3841" max="3842" width="14" style="10" customWidth="1"/>
    <col min="3843" max="3843" width="36.625" style="10" customWidth="1"/>
    <col min="3844" max="3844" width="14.375" style="10" customWidth="1"/>
    <col min="3845" max="4085" width="9" style="10"/>
    <col min="4086" max="4086" width="13.25" style="10" customWidth="1"/>
    <col min="4087" max="4087" width="16.375" style="10" customWidth="1"/>
    <col min="4088" max="4088" width="13" style="10" customWidth="1"/>
    <col min="4089" max="4089" width="13.25" style="10" customWidth="1"/>
    <col min="4090" max="4090" width="13.5" style="10" customWidth="1"/>
    <col min="4091" max="4092" width="12.375" style="10" customWidth="1"/>
    <col min="4093" max="4093" width="16.75" style="10" customWidth="1"/>
    <col min="4094" max="4094" width="13.5" style="10" customWidth="1"/>
    <col min="4095" max="4096" width="13.375" style="10" customWidth="1"/>
    <col min="4097" max="4098" width="14" style="10" customWidth="1"/>
    <col min="4099" max="4099" width="36.625" style="10" customWidth="1"/>
    <col min="4100" max="4100" width="14.375" style="10" customWidth="1"/>
    <col min="4101" max="4341" width="9" style="10"/>
    <col min="4342" max="4342" width="13.25" style="10" customWidth="1"/>
    <col min="4343" max="4343" width="16.375" style="10" customWidth="1"/>
    <col min="4344" max="4344" width="13" style="10" customWidth="1"/>
    <col min="4345" max="4345" width="13.25" style="10" customWidth="1"/>
    <col min="4346" max="4346" width="13.5" style="10" customWidth="1"/>
    <col min="4347" max="4348" width="12.375" style="10" customWidth="1"/>
    <col min="4349" max="4349" width="16.75" style="10" customWidth="1"/>
    <col min="4350" max="4350" width="13.5" style="10" customWidth="1"/>
    <col min="4351" max="4352" width="13.375" style="10" customWidth="1"/>
    <col min="4353" max="4354" width="14" style="10" customWidth="1"/>
    <col min="4355" max="4355" width="36.625" style="10" customWidth="1"/>
    <col min="4356" max="4356" width="14.375" style="10" customWidth="1"/>
    <col min="4357" max="4597" width="9" style="10"/>
    <col min="4598" max="4598" width="13.25" style="10" customWidth="1"/>
    <col min="4599" max="4599" width="16.375" style="10" customWidth="1"/>
    <col min="4600" max="4600" width="13" style="10" customWidth="1"/>
    <col min="4601" max="4601" width="13.25" style="10" customWidth="1"/>
    <col min="4602" max="4602" width="13.5" style="10" customWidth="1"/>
    <col min="4603" max="4604" width="12.375" style="10" customWidth="1"/>
    <col min="4605" max="4605" width="16.75" style="10" customWidth="1"/>
    <col min="4606" max="4606" width="13.5" style="10" customWidth="1"/>
    <col min="4607" max="4608" width="13.375" style="10" customWidth="1"/>
    <col min="4609" max="4610" width="14" style="10" customWidth="1"/>
    <col min="4611" max="4611" width="36.625" style="10" customWidth="1"/>
    <col min="4612" max="4612" width="14.375" style="10" customWidth="1"/>
    <col min="4613" max="4853" width="9" style="10"/>
    <col min="4854" max="4854" width="13.25" style="10" customWidth="1"/>
    <col min="4855" max="4855" width="16.375" style="10" customWidth="1"/>
    <col min="4856" max="4856" width="13" style="10" customWidth="1"/>
    <col min="4857" max="4857" width="13.25" style="10" customWidth="1"/>
    <col min="4858" max="4858" width="13.5" style="10" customWidth="1"/>
    <col min="4859" max="4860" width="12.375" style="10" customWidth="1"/>
    <col min="4861" max="4861" width="16.75" style="10" customWidth="1"/>
    <col min="4862" max="4862" width="13.5" style="10" customWidth="1"/>
    <col min="4863" max="4864" width="13.375" style="10" customWidth="1"/>
    <col min="4865" max="4866" width="14" style="10" customWidth="1"/>
    <col min="4867" max="4867" width="36.625" style="10" customWidth="1"/>
    <col min="4868" max="4868" width="14.375" style="10" customWidth="1"/>
    <col min="4869" max="5109" width="9" style="10"/>
    <col min="5110" max="5110" width="13.25" style="10" customWidth="1"/>
    <col min="5111" max="5111" width="16.375" style="10" customWidth="1"/>
    <col min="5112" max="5112" width="13" style="10" customWidth="1"/>
    <col min="5113" max="5113" width="13.25" style="10" customWidth="1"/>
    <col min="5114" max="5114" width="13.5" style="10" customWidth="1"/>
    <col min="5115" max="5116" width="12.375" style="10" customWidth="1"/>
    <col min="5117" max="5117" width="16.75" style="10" customWidth="1"/>
    <col min="5118" max="5118" width="13.5" style="10" customWidth="1"/>
    <col min="5119" max="5120" width="13.375" style="10" customWidth="1"/>
    <col min="5121" max="5122" width="14" style="10" customWidth="1"/>
    <col min="5123" max="5123" width="36.625" style="10" customWidth="1"/>
    <col min="5124" max="5124" width="14.375" style="10" customWidth="1"/>
    <col min="5125" max="5365" width="9" style="10"/>
    <col min="5366" max="5366" width="13.25" style="10" customWidth="1"/>
    <col min="5367" max="5367" width="16.375" style="10" customWidth="1"/>
    <col min="5368" max="5368" width="13" style="10" customWidth="1"/>
    <col min="5369" max="5369" width="13.25" style="10" customWidth="1"/>
    <col min="5370" max="5370" width="13.5" style="10" customWidth="1"/>
    <col min="5371" max="5372" width="12.375" style="10" customWidth="1"/>
    <col min="5373" max="5373" width="16.75" style="10" customWidth="1"/>
    <col min="5374" max="5374" width="13.5" style="10" customWidth="1"/>
    <col min="5375" max="5376" width="13.375" style="10" customWidth="1"/>
    <col min="5377" max="5378" width="14" style="10" customWidth="1"/>
    <col min="5379" max="5379" width="36.625" style="10" customWidth="1"/>
    <col min="5380" max="5380" width="14.375" style="10" customWidth="1"/>
    <col min="5381" max="5621" width="9" style="10"/>
    <col min="5622" max="5622" width="13.25" style="10" customWidth="1"/>
    <col min="5623" max="5623" width="16.375" style="10" customWidth="1"/>
    <col min="5624" max="5624" width="13" style="10" customWidth="1"/>
    <col min="5625" max="5625" width="13.25" style="10" customWidth="1"/>
    <col min="5626" max="5626" width="13.5" style="10" customWidth="1"/>
    <col min="5627" max="5628" width="12.375" style="10" customWidth="1"/>
    <col min="5629" max="5629" width="16.75" style="10" customWidth="1"/>
    <col min="5630" max="5630" width="13.5" style="10" customWidth="1"/>
    <col min="5631" max="5632" width="13.375" style="10" customWidth="1"/>
    <col min="5633" max="5634" width="14" style="10" customWidth="1"/>
    <col min="5635" max="5635" width="36.625" style="10" customWidth="1"/>
    <col min="5636" max="5636" width="14.375" style="10" customWidth="1"/>
    <col min="5637" max="5877" width="9" style="10"/>
    <col min="5878" max="5878" width="13.25" style="10" customWidth="1"/>
    <col min="5879" max="5879" width="16.375" style="10" customWidth="1"/>
    <col min="5880" max="5880" width="13" style="10" customWidth="1"/>
    <col min="5881" max="5881" width="13.25" style="10" customWidth="1"/>
    <col min="5882" max="5882" width="13.5" style="10" customWidth="1"/>
    <col min="5883" max="5884" width="12.375" style="10" customWidth="1"/>
    <col min="5885" max="5885" width="16.75" style="10" customWidth="1"/>
    <col min="5886" max="5886" width="13.5" style="10" customWidth="1"/>
    <col min="5887" max="5888" width="13.375" style="10" customWidth="1"/>
    <col min="5889" max="5890" width="14" style="10" customWidth="1"/>
    <col min="5891" max="5891" width="36.625" style="10" customWidth="1"/>
    <col min="5892" max="5892" width="14.375" style="10" customWidth="1"/>
    <col min="5893" max="6133" width="9" style="10"/>
    <col min="6134" max="6134" width="13.25" style="10" customWidth="1"/>
    <col min="6135" max="6135" width="16.375" style="10" customWidth="1"/>
    <col min="6136" max="6136" width="13" style="10" customWidth="1"/>
    <col min="6137" max="6137" width="13.25" style="10" customWidth="1"/>
    <col min="6138" max="6138" width="13.5" style="10" customWidth="1"/>
    <col min="6139" max="6140" width="12.375" style="10" customWidth="1"/>
    <col min="6141" max="6141" width="16.75" style="10" customWidth="1"/>
    <col min="6142" max="6142" width="13.5" style="10" customWidth="1"/>
    <col min="6143" max="6144" width="13.375" style="10" customWidth="1"/>
    <col min="6145" max="6146" width="14" style="10" customWidth="1"/>
    <col min="6147" max="6147" width="36.625" style="10" customWidth="1"/>
    <col min="6148" max="6148" width="14.375" style="10" customWidth="1"/>
    <col min="6149" max="6389" width="9" style="10"/>
    <col min="6390" max="6390" width="13.25" style="10" customWidth="1"/>
    <col min="6391" max="6391" width="16.375" style="10" customWidth="1"/>
    <col min="6392" max="6392" width="13" style="10" customWidth="1"/>
    <col min="6393" max="6393" width="13.25" style="10" customWidth="1"/>
    <col min="6394" max="6394" width="13.5" style="10" customWidth="1"/>
    <col min="6395" max="6396" width="12.375" style="10" customWidth="1"/>
    <col min="6397" max="6397" width="16.75" style="10" customWidth="1"/>
    <col min="6398" max="6398" width="13.5" style="10" customWidth="1"/>
    <col min="6399" max="6400" width="13.375" style="10" customWidth="1"/>
    <col min="6401" max="6402" width="14" style="10" customWidth="1"/>
    <col min="6403" max="6403" width="36.625" style="10" customWidth="1"/>
    <col min="6404" max="6404" width="14.375" style="10" customWidth="1"/>
    <col min="6405" max="6645" width="9" style="10"/>
    <col min="6646" max="6646" width="13.25" style="10" customWidth="1"/>
    <col min="6647" max="6647" width="16.375" style="10" customWidth="1"/>
    <col min="6648" max="6648" width="13" style="10" customWidth="1"/>
    <col min="6649" max="6649" width="13.25" style="10" customWidth="1"/>
    <col min="6650" max="6650" width="13.5" style="10" customWidth="1"/>
    <col min="6651" max="6652" width="12.375" style="10" customWidth="1"/>
    <col min="6653" max="6653" width="16.75" style="10" customWidth="1"/>
    <col min="6654" max="6654" width="13.5" style="10" customWidth="1"/>
    <col min="6655" max="6656" width="13.375" style="10" customWidth="1"/>
    <col min="6657" max="6658" width="14" style="10" customWidth="1"/>
    <col min="6659" max="6659" width="36.625" style="10" customWidth="1"/>
    <col min="6660" max="6660" width="14.375" style="10" customWidth="1"/>
    <col min="6661" max="6901" width="9" style="10"/>
    <col min="6902" max="6902" width="13.25" style="10" customWidth="1"/>
    <col min="6903" max="6903" width="16.375" style="10" customWidth="1"/>
    <col min="6904" max="6904" width="13" style="10" customWidth="1"/>
    <col min="6905" max="6905" width="13.25" style="10" customWidth="1"/>
    <col min="6906" max="6906" width="13.5" style="10" customWidth="1"/>
    <col min="6907" max="6908" width="12.375" style="10" customWidth="1"/>
    <col min="6909" max="6909" width="16.75" style="10" customWidth="1"/>
    <col min="6910" max="6910" width="13.5" style="10" customWidth="1"/>
    <col min="6911" max="6912" width="13.375" style="10" customWidth="1"/>
    <col min="6913" max="6914" width="14" style="10" customWidth="1"/>
    <col min="6915" max="6915" width="36.625" style="10" customWidth="1"/>
    <col min="6916" max="6916" width="14.375" style="10" customWidth="1"/>
    <col min="6917" max="7157" width="9" style="10"/>
    <col min="7158" max="7158" width="13.25" style="10" customWidth="1"/>
    <col min="7159" max="7159" width="16.375" style="10" customWidth="1"/>
    <col min="7160" max="7160" width="13" style="10" customWidth="1"/>
    <col min="7161" max="7161" width="13.25" style="10" customWidth="1"/>
    <col min="7162" max="7162" width="13.5" style="10" customWidth="1"/>
    <col min="7163" max="7164" width="12.375" style="10" customWidth="1"/>
    <col min="7165" max="7165" width="16.75" style="10" customWidth="1"/>
    <col min="7166" max="7166" width="13.5" style="10" customWidth="1"/>
    <col min="7167" max="7168" width="13.375" style="10" customWidth="1"/>
    <col min="7169" max="7170" width="14" style="10" customWidth="1"/>
    <col min="7171" max="7171" width="36.625" style="10" customWidth="1"/>
    <col min="7172" max="7172" width="14.375" style="10" customWidth="1"/>
    <col min="7173" max="7413" width="9" style="10"/>
    <col min="7414" max="7414" width="13.25" style="10" customWidth="1"/>
    <col min="7415" max="7415" width="16.375" style="10" customWidth="1"/>
    <col min="7416" max="7416" width="13" style="10" customWidth="1"/>
    <col min="7417" max="7417" width="13.25" style="10" customWidth="1"/>
    <col min="7418" max="7418" width="13.5" style="10" customWidth="1"/>
    <col min="7419" max="7420" width="12.375" style="10" customWidth="1"/>
    <col min="7421" max="7421" width="16.75" style="10" customWidth="1"/>
    <col min="7422" max="7422" width="13.5" style="10" customWidth="1"/>
    <col min="7423" max="7424" width="13.375" style="10" customWidth="1"/>
    <col min="7425" max="7426" width="14" style="10" customWidth="1"/>
    <col min="7427" max="7427" width="36.625" style="10" customWidth="1"/>
    <col min="7428" max="7428" width="14.375" style="10" customWidth="1"/>
    <col min="7429" max="7669" width="9" style="10"/>
    <col min="7670" max="7670" width="13.25" style="10" customWidth="1"/>
    <col min="7671" max="7671" width="16.375" style="10" customWidth="1"/>
    <col min="7672" max="7672" width="13" style="10" customWidth="1"/>
    <col min="7673" max="7673" width="13.25" style="10" customWidth="1"/>
    <col min="7674" max="7674" width="13.5" style="10" customWidth="1"/>
    <col min="7675" max="7676" width="12.375" style="10" customWidth="1"/>
    <col min="7677" max="7677" width="16.75" style="10" customWidth="1"/>
    <col min="7678" max="7678" width="13.5" style="10" customWidth="1"/>
    <col min="7679" max="7680" width="13.375" style="10" customWidth="1"/>
    <col min="7681" max="7682" width="14" style="10" customWidth="1"/>
    <col min="7683" max="7683" width="36.625" style="10" customWidth="1"/>
    <col min="7684" max="7684" width="14.375" style="10" customWidth="1"/>
    <col min="7685" max="7925" width="9" style="10"/>
    <col min="7926" max="7926" width="13.25" style="10" customWidth="1"/>
    <col min="7927" max="7927" width="16.375" style="10" customWidth="1"/>
    <col min="7928" max="7928" width="13" style="10" customWidth="1"/>
    <col min="7929" max="7929" width="13.25" style="10" customWidth="1"/>
    <col min="7930" max="7930" width="13.5" style="10" customWidth="1"/>
    <col min="7931" max="7932" width="12.375" style="10" customWidth="1"/>
    <col min="7933" max="7933" width="16.75" style="10" customWidth="1"/>
    <col min="7934" max="7934" width="13.5" style="10" customWidth="1"/>
    <col min="7935" max="7936" width="13.375" style="10" customWidth="1"/>
    <col min="7937" max="7938" width="14" style="10" customWidth="1"/>
    <col min="7939" max="7939" width="36.625" style="10" customWidth="1"/>
    <col min="7940" max="7940" width="14.375" style="10" customWidth="1"/>
    <col min="7941" max="8181" width="9" style="10"/>
    <col min="8182" max="8182" width="13.25" style="10" customWidth="1"/>
    <col min="8183" max="8183" width="16.375" style="10" customWidth="1"/>
    <col min="8184" max="8184" width="13" style="10" customWidth="1"/>
    <col min="8185" max="8185" width="13.25" style="10" customWidth="1"/>
    <col min="8186" max="8186" width="13.5" style="10" customWidth="1"/>
    <col min="8187" max="8188" width="12.375" style="10" customWidth="1"/>
    <col min="8189" max="8189" width="16.75" style="10" customWidth="1"/>
    <col min="8190" max="8190" width="13.5" style="10" customWidth="1"/>
    <col min="8191" max="8192" width="13.375" style="10" customWidth="1"/>
    <col min="8193" max="8194" width="14" style="10" customWidth="1"/>
    <col min="8195" max="8195" width="36.625" style="10" customWidth="1"/>
    <col min="8196" max="8196" width="14.375" style="10" customWidth="1"/>
    <col min="8197" max="8437" width="9" style="10"/>
    <col min="8438" max="8438" width="13.25" style="10" customWidth="1"/>
    <col min="8439" max="8439" width="16.375" style="10" customWidth="1"/>
    <col min="8440" max="8440" width="13" style="10" customWidth="1"/>
    <col min="8441" max="8441" width="13.25" style="10" customWidth="1"/>
    <col min="8442" max="8442" width="13.5" style="10" customWidth="1"/>
    <col min="8443" max="8444" width="12.375" style="10" customWidth="1"/>
    <col min="8445" max="8445" width="16.75" style="10" customWidth="1"/>
    <col min="8446" max="8446" width="13.5" style="10" customWidth="1"/>
    <col min="8447" max="8448" width="13.375" style="10" customWidth="1"/>
    <col min="8449" max="8450" width="14" style="10" customWidth="1"/>
    <col min="8451" max="8451" width="36.625" style="10" customWidth="1"/>
    <col min="8452" max="8452" width="14.375" style="10" customWidth="1"/>
    <col min="8453" max="8693" width="9" style="10"/>
    <col min="8694" max="8694" width="13.25" style="10" customWidth="1"/>
    <col min="8695" max="8695" width="16.375" style="10" customWidth="1"/>
    <col min="8696" max="8696" width="13" style="10" customWidth="1"/>
    <col min="8697" max="8697" width="13.25" style="10" customWidth="1"/>
    <col min="8698" max="8698" width="13.5" style="10" customWidth="1"/>
    <col min="8699" max="8700" width="12.375" style="10" customWidth="1"/>
    <col min="8701" max="8701" width="16.75" style="10" customWidth="1"/>
    <col min="8702" max="8702" width="13.5" style="10" customWidth="1"/>
    <col min="8703" max="8704" width="13.375" style="10" customWidth="1"/>
    <col min="8705" max="8706" width="14" style="10" customWidth="1"/>
    <col min="8707" max="8707" width="36.625" style="10" customWidth="1"/>
    <col min="8708" max="8708" width="14.375" style="10" customWidth="1"/>
    <col min="8709" max="8949" width="9" style="10"/>
    <col min="8950" max="8950" width="13.25" style="10" customWidth="1"/>
    <col min="8951" max="8951" width="16.375" style="10" customWidth="1"/>
    <col min="8952" max="8952" width="13" style="10" customWidth="1"/>
    <col min="8953" max="8953" width="13.25" style="10" customWidth="1"/>
    <col min="8954" max="8954" width="13.5" style="10" customWidth="1"/>
    <col min="8955" max="8956" width="12.375" style="10" customWidth="1"/>
    <col min="8957" max="8957" width="16.75" style="10" customWidth="1"/>
    <col min="8958" max="8958" width="13.5" style="10" customWidth="1"/>
    <col min="8959" max="8960" width="13.375" style="10" customWidth="1"/>
    <col min="8961" max="8962" width="14" style="10" customWidth="1"/>
    <col min="8963" max="8963" width="36.625" style="10" customWidth="1"/>
    <col min="8964" max="8964" width="14.375" style="10" customWidth="1"/>
    <col min="8965" max="9205" width="9" style="10"/>
    <col min="9206" max="9206" width="13.25" style="10" customWidth="1"/>
    <col min="9207" max="9207" width="16.375" style="10" customWidth="1"/>
    <col min="9208" max="9208" width="13" style="10" customWidth="1"/>
    <col min="9209" max="9209" width="13.25" style="10" customWidth="1"/>
    <col min="9210" max="9210" width="13.5" style="10" customWidth="1"/>
    <col min="9211" max="9212" width="12.375" style="10" customWidth="1"/>
    <col min="9213" max="9213" width="16.75" style="10" customWidth="1"/>
    <col min="9214" max="9214" width="13.5" style="10" customWidth="1"/>
    <col min="9215" max="9216" width="13.375" style="10" customWidth="1"/>
    <col min="9217" max="9218" width="14" style="10" customWidth="1"/>
    <col min="9219" max="9219" width="36.625" style="10" customWidth="1"/>
    <col min="9220" max="9220" width="14.375" style="10" customWidth="1"/>
    <col min="9221" max="9461" width="9" style="10"/>
    <col min="9462" max="9462" width="13.25" style="10" customWidth="1"/>
    <col min="9463" max="9463" width="16.375" style="10" customWidth="1"/>
    <col min="9464" max="9464" width="13" style="10" customWidth="1"/>
    <col min="9465" max="9465" width="13.25" style="10" customWidth="1"/>
    <col min="9466" max="9466" width="13.5" style="10" customWidth="1"/>
    <col min="9467" max="9468" width="12.375" style="10" customWidth="1"/>
    <col min="9469" max="9469" width="16.75" style="10" customWidth="1"/>
    <col min="9470" max="9470" width="13.5" style="10" customWidth="1"/>
    <col min="9471" max="9472" width="13.375" style="10" customWidth="1"/>
    <col min="9473" max="9474" width="14" style="10" customWidth="1"/>
    <col min="9475" max="9475" width="36.625" style="10" customWidth="1"/>
    <col min="9476" max="9476" width="14.375" style="10" customWidth="1"/>
    <col min="9477" max="9717" width="9" style="10"/>
    <col min="9718" max="9718" width="13.25" style="10" customWidth="1"/>
    <col min="9719" max="9719" width="16.375" style="10" customWidth="1"/>
    <col min="9720" max="9720" width="13" style="10" customWidth="1"/>
    <col min="9721" max="9721" width="13.25" style="10" customWidth="1"/>
    <col min="9722" max="9722" width="13.5" style="10" customWidth="1"/>
    <col min="9723" max="9724" width="12.375" style="10" customWidth="1"/>
    <col min="9725" max="9725" width="16.75" style="10" customWidth="1"/>
    <col min="9726" max="9726" width="13.5" style="10" customWidth="1"/>
    <col min="9727" max="9728" width="13.375" style="10" customWidth="1"/>
    <col min="9729" max="9730" width="14" style="10" customWidth="1"/>
    <col min="9731" max="9731" width="36.625" style="10" customWidth="1"/>
    <col min="9732" max="9732" width="14.375" style="10" customWidth="1"/>
    <col min="9733" max="9973" width="9" style="10"/>
    <col min="9974" max="9974" width="13.25" style="10" customWidth="1"/>
    <col min="9975" max="9975" width="16.375" style="10" customWidth="1"/>
    <col min="9976" max="9976" width="13" style="10" customWidth="1"/>
    <col min="9977" max="9977" width="13.25" style="10" customWidth="1"/>
    <col min="9978" max="9978" width="13.5" style="10" customWidth="1"/>
    <col min="9979" max="9980" width="12.375" style="10" customWidth="1"/>
    <col min="9981" max="9981" width="16.75" style="10" customWidth="1"/>
    <col min="9982" max="9982" width="13.5" style="10" customWidth="1"/>
    <col min="9983" max="9984" width="13.375" style="10" customWidth="1"/>
    <col min="9985" max="9986" width="14" style="10" customWidth="1"/>
    <col min="9987" max="9987" width="36.625" style="10" customWidth="1"/>
    <col min="9988" max="9988" width="14.375" style="10" customWidth="1"/>
    <col min="9989" max="10229" width="9" style="10"/>
    <col min="10230" max="10230" width="13.25" style="10" customWidth="1"/>
    <col min="10231" max="10231" width="16.375" style="10" customWidth="1"/>
    <col min="10232" max="10232" width="13" style="10" customWidth="1"/>
    <col min="10233" max="10233" width="13.25" style="10" customWidth="1"/>
    <col min="10234" max="10234" width="13.5" style="10" customWidth="1"/>
    <col min="10235" max="10236" width="12.375" style="10" customWidth="1"/>
    <col min="10237" max="10237" width="16.75" style="10" customWidth="1"/>
    <col min="10238" max="10238" width="13.5" style="10" customWidth="1"/>
    <col min="10239" max="10240" width="13.375" style="10" customWidth="1"/>
    <col min="10241" max="10242" width="14" style="10" customWidth="1"/>
    <col min="10243" max="10243" width="36.625" style="10" customWidth="1"/>
    <col min="10244" max="10244" width="14.375" style="10" customWidth="1"/>
    <col min="10245" max="10485" width="9" style="10"/>
    <col min="10486" max="10486" width="13.25" style="10" customWidth="1"/>
    <col min="10487" max="10487" width="16.375" style="10" customWidth="1"/>
    <col min="10488" max="10488" width="13" style="10" customWidth="1"/>
    <col min="10489" max="10489" width="13.25" style="10" customWidth="1"/>
    <col min="10490" max="10490" width="13.5" style="10" customWidth="1"/>
    <col min="10491" max="10492" width="12.375" style="10" customWidth="1"/>
    <col min="10493" max="10493" width="16.75" style="10" customWidth="1"/>
    <col min="10494" max="10494" width="13.5" style="10" customWidth="1"/>
    <col min="10495" max="10496" width="13.375" style="10" customWidth="1"/>
    <col min="10497" max="10498" width="14" style="10" customWidth="1"/>
    <col min="10499" max="10499" width="36.625" style="10" customWidth="1"/>
    <col min="10500" max="10500" width="14.375" style="10" customWidth="1"/>
    <col min="10501" max="10741" width="9" style="10"/>
    <col min="10742" max="10742" width="13.25" style="10" customWidth="1"/>
    <col min="10743" max="10743" width="16.375" style="10" customWidth="1"/>
    <col min="10744" max="10744" width="13" style="10" customWidth="1"/>
    <col min="10745" max="10745" width="13.25" style="10" customWidth="1"/>
    <col min="10746" max="10746" width="13.5" style="10" customWidth="1"/>
    <col min="10747" max="10748" width="12.375" style="10" customWidth="1"/>
    <col min="10749" max="10749" width="16.75" style="10" customWidth="1"/>
    <col min="10750" max="10750" width="13.5" style="10" customWidth="1"/>
    <col min="10751" max="10752" width="13.375" style="10" customWidth="1"/>
    <col min="10753" max="10754" width="14" style="10" customWidth="1"/>
    <col min="10755" max="10755" width="36.625" style="10" customWidth="1"/>
    <col min="10756" max="10756" width="14.375" style="10" customWidth="1"/>
    <col min="10757" max="10997" width="9" style="10"/>
    <col min="10998" max="10998" width="13.25" style="10" customWidth="1"/>
    <col min="10999" max="10999" width="16.375" style="10" customWidth="1"/>
    <col min="11000" max="11000" width="13" style="10" customWidth="1"/>
    <col min="11001" max="11001" width="13.25" style="10" customWidth="1"/>
    <col min="11002" max="11002" width="13.5" style="10" customWidth="1"/>
    <col min="11003" max="11004" width="12.375" style="10" customWidth="1"/>
    <col min="11005" max="11005" width="16.75" style="10" customWidth="1"/>
    <col min="11006" max="11006" width="13.5" style="10" customWidth="1"/>
    <col min="11007" max="11008" width="13.375" style="10" customWidth="1"/>
    <col min="11009" max="11010" width="14" style="10" customWidth="1"/>
    <col min="11011" max="11011" width="36.625" style="10" customWidth="1"/>
    <col min="11012" max="11012" width="14.375" style="10" customWidth="1"/>
    <col min="11013" max="11253" width="9" style="10"/>
    <col min="11254" max="11254" width="13.25" style="10" customWidth="1"/>
    <col min="11255" max="11255" width="16.375" style="10" customWidth="1"/>
    <col min="11256" max="11256" width="13" style="10" customWidth="1"/>
    <col min="11257" max="11257" width="13.25" style="10" customWidth="1"/>
    <col min="11258" max="11258" width="13.5" style="10" customWidth="1"/>
    <col min="11259" max="11260" width="12.375" style="10" customWidth="1"/>
    <col min="11261" max="11261" width="16.75" style="10" customWidth="1"/>
    <col min="11262" max="11262" width="13.5" style="10" customWidth="1"/>
    <col min="11263" max="11264" width="13.375" style="10" customWidth="1"/>
    <col min="11265" max="11266" width="14" style="10" customWidth="1"/>
    <col min="11267" max="11267" width="36.625" style="10" customWidth="1"/>
    <col min="11268" max="11268" width="14.375" style="10" customWidth="1"/>
    <col min="11269" max="11509" width="9" style="10"/>
    <col min="11510" max="11510" width="13.25" style="10" customWidth="1"/>
    <col min="11511" max="11511" width="16.375" style="10" customWidth="1"/>
    <col min="11512" max="11512" width="13" style="10" customWidth="1"/>
    <col min="11513" max="11513" width="13.25" style="10" customWidth="1"/>
    <col min="11514" max="11514" width="13.5" style="10" customWidth="1"/>
    <col min="11515" max="11516" width="12.375" style="10" customWidth="1"/>
    <col min="11517" max="11517" width="16.75" style="10" customWidth="1"/>
    <col min="11518" max="11518" width="13.5" style="10" customWidth="1"/>
    <col min="11519" max="11520" width="13.375" style="10" customWidth="1"/>
    <col min="11521" max="11522" width="14" style="10" customWidth="1"/>
    <col min="11523" max="11523" width="36.625" style="10" customWidth="1"/>
    <col min="11524" max="11524" width="14.375" style="10" customWidth="1"/>
    <col min="11525" max="11765" width="9" style="10"/>
    <col min="11766" max="11766" width="13.25" style="10" customWidth="1"/>
    <col min="11767" max="11767" width="16.375" style="10" customWidth="1"/>
    <col min="11768" max="11768" width="13" style="10" customWidth="1"/>
    <col min="11769" max="11769" width="13.25" style="10" customWidth="1"/>
    <col min="11770" max="11770" width="13.5" style="10" customWidth="1"/>
    <col min="11771" max="11772" width="12.375" style="10" customWidth="1"/>
    <col min="11773" max="11773" width="16.75" style="10" customWidth="1"/>
    <col min="11774" max="11774" width="13.5" style="10" customWidth="1"/>
    <col min="11775" max="11776" width="13.375" style="10" customWidth="1"/>
    <col min="11777" max="11778" width="14" style="10" customWidth="1"/>
    <col min="11779" max="11779" width="36.625" style="10" customWidth="1"/>
    <col min="11780" max="11780" width="14.375" style="10" customWidth="1"/>
    <col min="11781" max="12021" width="9" style="10"/>
    <col min="12022" max="12022" width="13.25" style="10" customWidth="1"/>
    <col min="12023" max="12023" width="16.375" style="10" customWidth="1"/>
    <col min="12024" max="12024" width="13" style="10" customWidth="1"/>
    <col min="12025" max="12025" width="13.25" style="10" customWidth="1"/>
    <col min="12026" max="12026" width="13.5" style="10" customWidth="1"/>
    <col min="12027" max="12028" width="12.375" style="10" customWidth="1"/>
    <col min="12029" max="12029" width="16.75" style="10" customWidth="1"/>
    <col min="12030" max="12030" width="13.5" style="10" customWidth="1"/>
    <col min="12031" max="12032" width="13.375" style="10" customWidth="1"/>
    <col min="12033" max="12034" width="14" style="10" customWidth="1"/>
    <col min="12035" max="12035" width="36.625" style="10" customWidth="1"/>
    <col min="12036" max="12036" width="14.375" style="10" customWidth="1"/>
    <col min="12037" max="12277" width="9" style="10"/>
    <col min="12278" max="12278" width="13.25" style="10" customWidth="1"/>
    <col min="12279" max="12279" width="16.375" style="10" customWidth="1"/>
    <col min="12280" max="12280" width="13" style="10" customWidth="1"/>
    <col min="12281" max="12281" width="13.25" style="10" customWidth="1"/>
    <col min="12282" max="12282" width="13.5" style="10" customWidth="1"/>
    <col min="12283" max="12284" width="12.375" style="10" customWidth="1"/>
    <col min="12285" max="12285" width="16.75" style="10" customWidth="1"/>
    <col min="12286" max="12286" width="13.5" style="10" customWidth="1"/>
    <col min="12287" max="12288" width="13.375" style="10" customWidth="1"/>
    <col min="12289" max="12290" width="14" style="10" customWidth="1"/>
    <col min="12291" max="12291" width="36.625" style="10" customWidth="1"/>
    <col min="12292" max="12292" width="14.375" style="10" customWidth="1"/>
    <col min="12293" max="12533" width="9" style="10"/>
    <col min="12534" max="12534" width="13.25" style="10" customWidth="1"/>
    <col min="12535" max="12535" width="16.375" style="10" customWidth="1"/>
    <col min="12536" max="12536" width="13" style="10" customWidth="1"/>
    <col min="12537" max="12537" width="13.25" style="10" customWidth="1"/>
    <col min="12538" max="12538" width="13.5" style="10" customWidth="1"/>
    <col min="12539" max="12540" width="12.375" style="10" customWidth="1"/>
    <col min="12541" max="12541" width="16.75" style="10" customWidth="1"/>
    <col min="12542" max="12542" width="13.5" style="10" customWidth="1"/>
    <col min="12543" max="12544" width="13.375" style="10" customWidth="1"/>
    <col min="12545" max="12546" width="14" style="10" customWidth="1"/>
    <col min="12547" max="12547" width="36.625" style="10" customWidth="1"/>
    <col min="12548" max="12548" width="14.375" style="10" customWidth="1"/>
    <col min="12549" max="12789" width="9" style="10"/>
    <col min="12790" max="12790" width="13.25" style="10" customWidth="1"/>
    <col min="12791" max="12791" width="16.375" style="10" customWidth="1"/>
    <col min="12792" max="12792" width="13" style="10" customWidth="1"/>
    <col min="12793" max="12793" width="13.25" style="10" customWidth="1"/>
    <col min="12794" max="12794" width="13.5" style="10" customWidth="1"/>
    <col min="12795" max="12796" width="12.375" style="10" customWidth="1"/>
    <col min="12797" max="12797" width="16.75" style="10" customWidth="1"/>
    <col min="12798" max="12798" width="13.5" style="10" customWidth="1"/>
    <col min="12799" max="12800" width="13.375" style="10" customWidth="1"/>
    <col min="12801" max="12802" width="14" style="10" customWidth="1"/>
    <col min="12803" max="12803" width="36.625" style="10" customWidth="1"/>
    <col min="12804" max="12804" width="14.375" style="10" customWidth="1"/>
    <col min="12805" max="13045" width="9" style="10"/>
    <col min="13046" max="13046" width="13.25" style="10" customWidth="1"/>
    <col min="13047" max="13047" width="16.375" style="10" customWidth="1"/>
    <col min="13048" max="13048" width="13" style="10" customWidth="1"/>
    <col min="13049" max="13049" width="13.25" style="10" customWidth="1"/>
    <col min="13050" max="13050" width="13.5" style="10" customWidth="1"/>
    <col min="13051" max="13052" width="12.375" style="10" customWidth="1"/>
    <col min="13053" max="13053" width="16.75" style="10" customWidth="1"/>
    <col min="13054" max="13054" width="13.5" style="10" customWidth="1"/>
    <col min="13055" max="13056" width="13.375" style="10" customWidth="1"/>
    <col min="13057" max="13058" width="14" style="10" customWidth="1"/>
    <col min="13059" max="13059" width="36.625" style="10" customWidth="1"/>
    <col min="13060" max="13060" width="14.375" style="10" customWidth="1"/>
    <col min="13061" max="13301" width="9" style="10"/>
    <col min="13302" max="13302" width="13.25" style="10" customWidth="1"/>
    <col min="13303" max="13303" width="16.375" style="10" customWidth="1"/>
    <col min="13304" max="13304" width="13" style="10" customWidth="1"/>
    <col min="13305" max="13305" width="13.25" style="10" customWidth="1"/>
    <col min="13306" max="13306" width="13.5" style="10" customWidth="1"/>
    <col min="13307" max="13308" width="12.375" style="10" customWidth="1"/>
    <col min="13309" max="13309" width="16.75" style="10" customWidth="1"/>
    <col min="13310" max="13310" width="13.5" style="10" customWidth="1"/>
    <col min="13311" max="13312" width="13.375" style="10" customWidth="1"/>
    <col min="13313" max="13314" width="14" style="10" customWidth="1"/>
    <col min="13315" max="13315" width="36.625" style="10" customWidth="1"/>
    <col min="13316" max="13316" width="14.375" style="10" customWidth="1"/>
    <col min="13317" max="13557" width="9" style="10"/>
    <col min="13558" max="13558" width="13.25" style="10" customWidth="1"/>
    <col min="13559" max="13559" width="16.375" style="10" customWidth="1"/>
    <col min="13560" max="13560" width="13" style="10" customWidth="1"/>
    <col min="13561" max="13561" width="13.25" style="10" customWidth="1"/>
    <col min="13562" max="13562" width="13.5" style="10" customWidth="1"/>
    <col min="13563" max="13564" width="12.375" style="10" customWidth="1"/>
    <col min="13565" max="13565" width="16.75" style="10" customWidth="1"/>
    <col min="13566" max="13566" width="13.5" style="10" customWidth="1"/>
    <col min="13567" max="13568" width="13.375" style="10" customWidth="1"/>
    <col min="13569" max="13570" width="14" style="10" customWidth="1"/>
    <col min="13571" max="13571" width="36.625" style="10" customWidth="1"/>
    <col min="13572" max="13572" width="14.375" style="10" customWidth="1"/>
    <col min="13573" max="13813" width="9" style="10"/>
    <col min="13814" max="13814" width="13.25" style="10" customWidth="1"/>
    <col min="13815" max="13815" width="16.375" style="10" customWidth="1"/>
    <col min="13816" max="13816" width="13" style="10" customWidth="1"/>
    <col min="13817" max="13817" width="13.25" style="10" customWidth="1"/>
    <col min="13818" max="13818" width="13.5" style="10" customWidth="1"/>
    <col min="13819" max="13820" width="12.375" style="10" customWidth="1"/>
    <col min="13821" max="13821" width="16.75" style="10" customWidth="1"/>
    <col min="13822" max="13822" width="13.5" style="10" customWidth="1"/>
    <col min="13823" max="13824" width="13.375" style="10" customWidth="1"/>
    <col min="13825" max="13826" width="14" style="10" customWidth="1"/>
    <col min="13827" max="13827" width="36.625" style="10" customWidth="1"/>
    <col min="13828" max="13828" width="14.375" style="10" customWidth="1"/>
    <col min="13829" max="14069" width="9" style="10"/>
    <col min="14070" max="14070" width="13.25" style="10" customWidth="1"/>
    <col min="14071" max="14071" width="16.375" style="10" customWidth="1"/>
    <col min="14072" max="14072" width="13" style="10" customWidth="1"/>
    <col min="14073" max="14073" width="13.25" style="10" customWidth="1"/>
    <col min="14074" max="14074" width="13.5" style="10" customWidth="1"/>
    <col min="14075" max="14076" width="12.375" style="10" customWidth="1"/>
    <col min="14077" max="14077" width="16.75" style="10" customWidth="1"/>
    <col min="14078" max="14078" width="13.5" style="10" customWidth="1"/>
    <col min="14079" max="14080" width="13.375" style="10" customWidth="1"/>
    <col min="14081" max="14082" width="14" style="10" customWidth="1"/>
    <col min="14083" max="14083" width="36.625" style="10" customWidth="1"/>
    <col min="14084" max="14084" width="14.375" style="10" customWidth="1"/>
    <col min="14085" max="14325" width="9" style="10"/>
    <col min="14326" max="14326" width="13.25" style="10" customWidth="1"/>
    <col min="14327" max="14327" width="16.375" style="10" customWidth="1"/>
    <col min="14328" max="14328" width="13" style="10" customWidth="1"/>
    <col min="14329" max="14329" width="13.25" style="10" customWidth="1"/>
    <col min="14330" max="14330" width="13.5" style="10" customWidth="1"/>
    <col min="14331" max="14332" width="12.375" style="10" customWidth="1"/>
    <col min="14333" max="14333" width="16.75" style="10" customWidth="1"/>
    <col min="14334" max="14334" width="13.5" style="10" customWidth="1"/>
    <col min="14335" max="14336" width="13.375" style="10" customWidth="1"/>
    <col min="14337" max="14338" width="14" style="10" customWidth="1"/>
    <col min="14339" max="14339" width="36.625" style="10" customWidth="1"/>
    <col min="14340" max="14340" width="14.375" style="10" customWidth="1"/>
    <col min="14341" max="14581" width="9" style="10"/>
    <col min="14582" max="14582" width="13.25" style="10" customWidth="1"/>
    <col min="14583" max="14583" width="16.375" style="10" customWidth="1"/>
    <col min="14584" max="14584" width="13" style="10" customWidth="1"/>
    <col min="14585" max="14585" width="13.25" style="10" customWidth="1"/>
    <col min="14586" max="14586" width="13.5" style="10" customWidth="1"/>
    <col min="14587" max="14588" width="12.375" style="10" customWidth="1"/>
    <col min="14589" max="14589" width="16.75" style="10" customWidth="1"/>
    <col min="14590" max="14590" width="13.5" style="10" customWidth="1"/>
    <col min="14591" max="14592" width="13.375" style="10" customWidth="1"/>
    <col min="14593" max="14594" width="14" style="10" customWidth="1"/>
    <col min="14595" max="14595" width="36.625" style="10" customWidth="1"/>
    <col min="14596" max="14596" width="14.375" style="10" customWidth="1"/>
    <col min="14597" max="14837" width="9" style="10"/>
    <col min="14838" max="14838" width="13.25" style="10" customWidth="1"/>
    <col min="14839" max="14839" width="16.375" style="10" customWidth="1"/>
    <col min="14840" max="14840" width="13" style="10" customWidth="1"/>
    <col min="14841" max="14841" width="13.25" style="10" customWidth="1"/>
    <col min="14842" max="14842" width="13.5" style="10" customWidth="1"/>
    <col min="14843" max="14844" width="12.375" style="10" customWidth="1"/>
    <col min="14845" max="14845" width="16.75" style="10" customWidth="1"/>
    <col min="14846" max="14846" width="13.5" style="10" customWidth="1"/>
    <col min="14847" max="14848" width="13.375" style="10" customWidth="1"/>
    <col min="14849" max="14850" width="14" style="10" customWidth="1"/>
    <col min="14851" max="14851" width="36.625" style="10" customWidth="1"/>
    <col min="14852" max="14852" width="14.375" style="10" customWidth="1"/>
    <col min="14853" max="15093" width="9" style="10"/>
    <col min="15094" max="15094" width="13.25" style="10" customWidth="1"/>
    <col min="15095" max="15095" width="16.375" style="10" customWidth="1"/>
    <col min="15096" max="15096" width="13" style="10" customWidth="1"/>
    <col min="15097" max="15097" width="13.25" style="10" customWidth="1"/>
    <col min="15098" max="15098" width="13.5" style="10" customWidth="1"/>
    <col min="15099" max="15100" width="12.375" style="10" customWidth="1"/>
    <col min="15101" max="15101" width="16.75" style="10" customWidth="1"/>
    <col min="15102" max="15102" width="13.5" style="10" customWidth="1"/>
    <col min="15103" max="15104" width="13.375" style="10" customWidth="1"/>
    <col min="15105" max="15106" width="14" style="10" customWidth="1"/>
    <col min="15107" max="15107" width="36.625" style="10" customWidth="1"/>
    <col min="15108" max="15108" width="14.375" style="10" customWidth="1"/>
    <col min="15109" max="15349" width="9" style="10"/>
    <col min="15350" max="15350" width="13.25" style="10" customWidth="1"/>
    <col min="15351" max="15351" width="16.375" style="10" customWidth="1"/>
    <col min="15352" max="15352" width="13" style="10" customWidth="1"/>
    <col min="15353" max="15353" width="13.25" style="10" customWidth="1"/>
    <col min="15354" max="15354" width="13.5" style="10" customWidth="1"/>
    <col min="15355" max="15356" width="12.375" style="10" customWidth="1"/>
    <col min="15357" max="15357" width="16.75" style="10" customWidth="1"/>
    <col min="15358" max="15358" width="13.5" style="10" customWidth="1"/>
    <col min="15359" max="15360" width="13.375" style="10" customWidth="1"/>
    <col min="15361" max="15362" width="14" style="10" customWidth="1"/>
    <col min="15363" max="15363" width="36.625" style="10" customWidth="1"/>
    <col min="15364" max="15364" width="14.375" style="10" customWidth="1"/>
    <col min="15365" max="15605" width="9" style="10"/>
    <col min="15606" max="15606" width="13.25" style="10" customWidth="1"/>
    <col min="15607" max="15607" width="16.375" style="10" customWidth="1"/>
    <col min="15608" max="15608" width="13" style="10" customWidth="1"/>
    <col min="15609" max="15609" width="13.25" style="10" customWidth="1"/>
    <col min="15610" max="15610" width="13.5" style="10" customWidth="1"/>
    <col min="15611" max="15612" width="12.375" style="10" customWidth="1"/>
    <col min="15613" max="15613" width="16.75" style="10" customWidth="1"/>
    <col min="15614" max="15614" width="13.5" style="10" customWidth="1"/>
    <col min="15615" max="15616" width="13.375" style="10" customWidth="1"/>
    <col min="15617" max="15618" width="14" style="10" customWidth="1"/>
    <col min="15619" max="15619" width="36.625" style="10" customWidth="1"/>
    <col min="15620" max="15620" width="14.375" style="10" customWidth="1"/>
    <col min="15621" max="15861" width="9" style="10"/>
    <col min="15862" max="15862" width="13.25" style="10" customWidth="1"/>
    <col min="15863" max="15863" width="16.375" style="10" customWidth="1"/>
    <col min="15864" max="15864" width="13" style="10" customWidth="1"/>
    <col min="15865" max="15865" width="13.25" style="10" customWidth="1"/>
    <col min="15866" max="15866" width="13.5" style="10" customWidth="1"/>
    <col min="15867" max="15868" width="12.375" style="10" customWidth="1"/>
    <col min="15869" max="15869" width="16.75" style="10" customWidth="1"/>
    <col min="15870" max="15870" width="13.5" style="10" customWidth="1"/>
    <col min="15871" max="15872" width="13.375" style="10" customWidth="1"/>
    <col min="15873" max="15874" width="14" style="10" customWidth="1"/>
    <col min="15875" max="15875" width="36.625" style="10" customWidth="1"/>
    <col min="15876" max="15876" width="14.375" style="10" customWidth="1"/>
    <col min="15877" max="16117" width="9" style="10"/>
    <col min="16118" max="16118" width="13.25" style="10" customWidth="1"/>
    <col min="16119" max="16119" width="16.375" style="10" customWidth="1"/>
    <col min="16120" max="16120" width="13" style="10" customWidth="1"/>
    <col min="16121" max="16121" width="13.25" style="10" customWidth="1"/>
    <col min="16122" max="16122" width="13.5" style="10" customWidth="1"/>
    <col min="16123" max="16124" width="12.375" style="10" customWidth="1"/>
    <col min="16125" max="16125" width="16.75" style="10" customWidth="1"/>
    <col min="16126" max="16126" width="13.5" style="10" customWidth="1"/>
    <col min="16127" max="16128" width="13.375" style="10" customWidth="1"/>
    <col min="16129" max="16130" width="14" style="10" customWidth="1"/>
    <col min="16131" max="16131" width="36.625" style="10" customWidth="1"/>
    <col min="16132" max="16132" width="14.375" style="10" customWidth="1"/>
    <col min="16133" max="16384" width="9" style="10"/>
  </cols>
  <sheetData>
    <row r="1" s="1" customFormat="1" ht="25.5" spans="1:4">
      <c r="A1" s="69" t="s">
        <v>277</v>
      </c>
      <c r="B1" s="69"/>
      <c r="C1" s="69"/>
      <c r="D1" s="69"/>
    </row>
    <row r="2" s="2" customFormat="1" spans="1:1">
      <c r="A2" s="2" t="s">
        <v>64</v>
      </c>
    </row>
    <row r="3" s="3" customFormat="1" ht="13.5" spans="1:1">
      <c r="A3" s="12" t="str">
        <f>'G-高新'!A3</f>
        <v>编制期间：2020年4月</v>
      </c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>
        <v>41860</v>
      </c>
      <c r="E6" s="21">
        <v>34461.82</v>
      </c>
      <c r="F6" s="21">
        <v>44526.36</v>
      </c>
      <c r="G6" s="21">
        <v>50405.42</v>
      </c>
      <c r="H6" s="21"/>
      <c r="I6" s="21"/>
      <c r="J6" s="21"/>
      <c r="K6" s="21"/>
      <c r="L6" s="21"/>
      <c r="M6" s="21"/>
      <c r="N6" s="21"/>
      <c r="O6" s="21"/>
      <c r="P6" s="47">
        <f>SUM(D6:O6)</f>
        <v>171253.6</v>
      </c>
      <c r="Q6" s="48">
        <f>P6+P7+P8+P19+P22+P23+P24+P25+P26</f>
        <v>173072.48</v>
      </c>
    </row>
    <row r="7" s="5" customFormat="1" spans="1:16">
      <c r="A7" s="22"/>
      <c r="B7" s="23"/>
      <c r="C7" s="20" t="s">
        <v>71</v>
      </c>
      <c r="D7" s="21"/>
      <c r="E7" s="21">
        <v>0</v>
      </c>
      <c r="F7" s="21">
        <v>0</v>
      </c>
      <c r="G7" s="21">
        <v>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>
        <v>0</v>
      </c>
      <c r="F14" s="21">
        <v>0</v>
      </c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>
        <v>0</v>
      </c>
      <c r="F16" s="21">
        <v>0</v>
      </c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>
        <v>0</v>
      </c>
      <c r="F18" s="21">
        <v>0</v>
      </c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>
        <v>0</v>
      </c>
      <c r="F19" s="21">
        <v>0</v>
      </c>
      <c r="G19" s="21">
        <v>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>
        <v>909.44</v>
      </c>
      <c r="E22" s="21">
        <v>909.44</v>
      </c>
      <c r="F22" s="21">
        <v>0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1818.88</v>
      </c>
    </row>
    <row r="23" s="5" customFormat="1" spans="1:16">
      <c r="A23" s="22"/>
      <c r="B23" s="24"/>
      <c r="C23" s="25" t="s">
        <v>89</v>
      </c>
      <c r="D23" s="21"/>
      <c r="E23" s="21">
        <v>0</v>
      </c>
      <c r="F23" s="21">
        <v>0</v>
      </c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>
        <v>0</v>
      </c>
      <c r="F24" s="21">
        <v>0</v>
      </c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>
        <v>0</v>
      </c>
      <c r="F25" s="21">
        <v>0</v>
      </c>
      <c r="G25" s="21">
        <v>0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>
        <v>0</v>
      </c>
      <c r="F26" s="21">
        <v>0</v>
      </c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>
        <v>0</v>
      </c>
      <c r="F29" s="21">
        <v>0</v>
      </c>
      <c r="G29" s="21">
        <v>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>
        <v>3068.72</v>
      </c>
      <c r="E34" s="21">
        <v>0</v>
      </c>
      <c r="F34" s="21">
        <v>0</v>
      </c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3068.72</v>
      </c>
    </row>
    <row r="35" s="5" customFormat="1" spans="1:16">
      <c r="A35" s="28"/>
      <c r="B35" s="23"/>
      <c r="C35" s="25" t="s">
        <v>105</v>
      </c>
      <c r="D35" s="21"/>
      <c r="E35" s="21">
        <v>0</v>
      </c>
      <c r="F35" s="21">
        <v>0</v>
      </c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>
        <v>-14.6</v>
      </c>
      <c r="E37" s="21">
        <v>0</v>
      </c>
      <c r="F37" s="21">
        <v>0</v>
      </c>
      <c r="G37" s="21">
        <v>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-14.6</v>
      </c>
    </row>
    <row r="38" s="5" customFormat="1" spans="1:16">
      <c r="A38" s="28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>
        <v>0</v>
      </c>
      <c r="F39" s="21">
        <v>0</v>
      </c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>
        <v>0</v>
      </c>
      <c r="F41" s="21">
        <v>0</v>
      </c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>
        <v>1859.22</v>
      </c>
      <c r="E42" s="21">
        <v>0</v>
      </c>
      <c r="F42" s="21">
        <v>524.27</v>
      </c>
      <c r="G42" s="21">
        <v>2483.13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4866.62</v>
      </c>
    </row>
    <row r="43" s="5" customFormat="1" spans="1:16">
      <c r="A43" s="31"/>
      <c r="B43" s="19" t="s">
        <v>115</v>
      </c>
      <c r="C43" s="32" t="s">
        <v>115</v>
      </c>
      <c r="D43" s="21"/>
      <c r="E43" s="21">
        <v>0</v>
      </c>
      <c r="F43" s="21">
        <v>0</v>
      </c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>
        <v>0</v>
      </c>
      <c r="F44" s="21">
        <v>0</v>
      </c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>
        <v>0</v>
      </c>
      <c r="F45" s="21">
        <v>0</v>
      </c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>
        <v>8982.77</v>
      </c>
      <c r="E46" s="21">
        <v>8982.8</v>
      </c>
      <c r="F46" s="21">
        <v>8982.77</v>
      </c>
      <c r="G46" s="21">
        <v>8982.8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35931.14</v>
      </c>
    </row>
    <row r="47" s="5" customFormat="1" spans="1:16">
      <c r="A47" s="31"/>
      <c r="B47" s="26" t="s">
        <v>120</v>
      </c>
      <c r="C47" s="33" t="s">
        <v>120</v>
      </c>
      <c r="D47" s="21"/>
      <c r="E47" s="21">
        <v>0</v>
      </c>
      <c r="F47" s="21">
        <v>0</v>
      </c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19" t="s">
        <v>121</v>
      </c>
      <c r="C48" s="32" t="s">
        <v>121</v>
      </c>
      <c r="D48" s="21">
        <v>45783</v>
      </c>
      <c r="E48" s="21">
        <v>45783</v>
      </c>
      <c r="F48" s="21">
        <v>13095</v>
      </c>
      <c r="G48" s="21">
        <v>29439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134100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>
        <v>3239.57</v>
      </c>
      <c r="E49" s="21">
        <v>0</v>
      </c>
      <c r="F49" s="21">
        <v>2908.12</v>
      </c>
      <c r="G49" s="21">
        <v>9362.47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15510.16</v>
      </c>
    </row>
    <row r="50" s="5" customFormat="1" spans="1:16">
      <c r="A50" s="36"/>
      <c r="B50" s="38"/>
      <c r="C50" s="33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>
        <v>0</v>
      </c>
      <c r="F51" s="21">
        <v>0</v>
      </c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>
        <v>0</v>
      </c>
      <c r="F52" s="21">
        <v>0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>
        <v>0</v>
      </c>
      <c r="F53" s="21">
        <v>0</v>
      </c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>
        <v>0</v>
      </c>
      <c r="F54" s="21">
        <v>0</v>
      </c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>
        <v>0</v>
      </c>
      <c r="F55" s="21">
        <v>0</v>
      </c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>
        <v>0</v>
      </c>
      <c r="F56" s="21">
        <v>0</v>
      </c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>
        <v>0</v>
      </c>
      <c r="F57" s="21">
        <v>0</v>
      </c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>
        <v>0</v>
      </c>
      <c r="F58" s="21">
        <v>0</v>
      </c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>
        <v>0</v>
      </c>
      <c r="F59" s="21">
        <v>0</v>
      </c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>
        <v>0</v>
      </c>
      <c r="F60" s="21">
        <v>0</v>
      </c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>
        <v>0</v>
      </c>
      <c r="F61" s="21">
        <v>0</v>
      </c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>
        <v>0</v>
      </c>
      <c r="F62" s="21">
        <v>0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/>
      <c r="E63" s="21">
        <v>0</v>
      </c>
      <c r="F63" s="21">
        <v>0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>
        <v>0</v>
      </c>
      <c r="F64" s="21">
        <v>0</v>
      </c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>
        <v>0</v>
      </c>
      <c r="F65" s="21">
        <v>0</v>
      </c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>
        <v>0</v>
      </c>
      <c r="F66" s="21">
        <v>0</v>
      </c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>
        <v>0</v>
      </c>
      <c r="F67" s="21">
        <v>0</v>
      </c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>
        <v>0</v>
      </c>
      <c r="F68" s="21">
        <v>0</v>
      </c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>
        <v>0</v>
      </c>
      <c r="F69" s="21">
        <v>0</v>
      </c>
      <c r="G69" s="21">
        <v>0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>
        <v>0</v>
      </c>
      <c r="F70" s="21">
        <v>0</v>
      </c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>
        <v>0</v>
      </c>
      <c r="F71" s="21">
        <v>0</v>
      </c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>
        <v>0</v>
      </c>
      <c r="F72" s="21">
        <v>0</v>
      </c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>
        <v>0</v>
      </c>
      <c r="F73" s="21">
        <v>0</v>
      </c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>
        <v>0</v>
      </c>
      <c r="F74" s="21">
        <v>0</v>
      </c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>
        <v>0</v>
      </c>
      <c r="F75" s="21">
        <v>0</v>
      </c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>
        <v>0</v>
      </c>
      <c r="F77" s="21">
        <v>0</v>
      </c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>
        <v>0</v>
      </c>
      <c r="F78" s="21">
        <v>0</v>
      </c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>
        <v>0</v>
      </c>
      <c r="F79" s="21">
        <v>0</v>
      </c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>
        <v>0</v>
      </c>
      <c r="F80" s="21">
        <v>0</v>
      </c>
      <c r="G80" s="21">
        <v>79.5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79.5</v>
      </c>
    </row>
    <row r="81" s="5" customFormat="1" spans="1:16">
      <c r="A81" s="51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>
        <v>0</v>
      </c>
      <c r="F86" s="21">
        <v>0</v>
      </c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>
        <v>0</v>
      </c>
      <c r="F90" s="21">
        <v>0</v>
      </c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>
        <v>0</v>
      </c>
      <c r="F92" s="21">
        <v>0</v>
      </c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spans="1:16">
      <c r="A93" s="57" t="s">
        <v>12</v>
      </c>
      <c r="B93" s="57"/>
      <c r="C93" s="57"/>
      <c r="D93" s="58">
        <f>SUM(D6:D92)</f>
        <v>105688.12</v>
      </c>
      <c r="E93" s="58">
        <f t="shared" ref="E93:P93" si="2">SUM(E6:E92)</f>
        <v>90137.06</v>
      </c>
      <c r="F93" s="58">
        <f t="shared" si="2"/>
        <v>70036.52</v>
      </c>
      <c r="G93" s="58">
        <f t="shared" si="2"/>
        <v>100752.32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366614.02</v>
      </c>
    </row>
    <row r="94" s="7" customFormat="1" ht="12.75" spans="1:16">
      <c r="A94" s="61" t="s">
        <v>244</v>
      </c>
      <c r="B94" s="62"/>
      <c r="C94" s="63"/>
      <c r="D94" s="100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</row>
    <row r="95" s="7" customFormat="1" ht="12.75" spans="1:16">
      <c r="A95" s="61" t="s">
        <v>245</v>
      </c>
      <c r="B95" s="62"/>
      <c r="C95" s="63"/>
      <c r="D95" s="235">
        <f>D93</f>
        <v>105688.12</v>
      </c>
      <c r="E95" s="235">
        <f t="shared" ref="E95:O95" si="3">E93</f>
        <v>90137.06</v>
      </c>
      <c r="F95" s="235">
        <f t="shared" si="3"/>
        <v>70036.52</v>
      </c>
      <c r="G95" s="235">
        <f t="shared" si="3"/>
        <v>100752.32</v>
      </c>
      <c r="H95" s="235">
        <f t="shared" si="3"/>
        <v>0</v>
      </c>
      <c r="I95" s="235">
        <f t="shared" si="3"/>
        <v>0</v>
      </c>
      <c r="J95" s="235">
        <f t="shared" si="3"/>
        <v>0</v>
      </c>
      <c r="K95" s="235">
        <f t="shared" si="3"/>
        <v>0</v>
      </c>
      <c r="L95" s="235">
        <f t="shared" si="3"/>
        <v>0</v>
      </c>
      <c r="M95" s="235">
        <f t="shared" si="3"/>
        <v>0</v>
      </c>
      <c r="N95" s="235">
        <f t="shared" si="3"/>
        <v>0</v>
      </c>
      <c r="O95" s="235">
        <f t="shared" si="3"/>
        <v>0</v>
      </c>
      <c r="P95" s="293"/>
    </row>
    <row r="96" s="7" customFormat="1" ht="12.75" spans="1:16">
      <c r="A96" s="61" t="s">
        <v>179</v>
      </c>
      <c r="B96" s="62"/>
      <c r="C96" s="63"/>
      <c r="D96" s="294"/>
      <c r="E96" s="293"/>
      <c r="F96" s="293"/>
      <c r="G96" s="293"/>
      <c r="H96" s="293"/>
      <c r="I96" s="293"/>
      <c r="J96" s="293"/>
      <c r="K96" s="293"/>
      <c r="L96" s="293"/>
      <c r="M96" s="293"/>
      <c r="N96" s="293"/>
      <c r="O96" s="293"/>
      <c r="P96" s="293"/>
    </row>
    <row r="97" s="7" customFormat="1" ht="12.75" spans="1:16">
      <c r="A97" s="61" t="s">
        <v>180</v>
      </c>
      <c r="B97" s="62"/>
      <c r="C97" s="63"/>
      <c r="D97" s="294"/>
      <c r="E97" s="293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3"/>
    </row>
    <row r="98" s="7" customFormat="1" ht="12.75" spans="1:16">
      <c r="A98" s="296"/>
      <c r="B98" s="297"/>
      <c r="C98" s="298"/>
      <c r="D98" s="294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</row>
    <row r="99" s="7" customFormat="1" ht="12.75" spans="1:16">
      <c r="A99" s="296"/>
      <c r="B99" s="297"/>
      <c r="C99" s="298"/>
      <c r="D99" s="294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</row>
    <row r="100" s="7" customFormat="1" ht="12.75" spans="1:16">
      <c r="A100" s="296"/>
      <c r="B100" s="297"/>
      <c r="C100" s="298"/>
      <c r="D100" s="294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</row>
    <row r="101" s="190" customFormat="1" ht="13.5" spans="1:16">
      <c r="A101" s="190" t="s">
        <v>181</v>
      </c>
      <c r="D101" s="190" t="b">
        <f>D93='G-中天鸿锂'!D91</f>
        <v>1</v>
      </c>
      <c r="E101" s="190" t="b">
        <f>E93='G-中天鸿锂'!E91</f>
        <v>1</v>
      </c>
      <c r="F101" s="190" t="b">
        <f>F93='G-中天鸿锂'!F91</f>
        <v>1</v>
      </c>
      <c r="G101" s="190" t="b">
        <f>G93='G-中天鸿锂'!G91</f>
        <v>1</v>
      </c>
      <c r="H101" s="190" t="b">
        <f>H93='G-中天鸿锂'!H91</f>
        <v>1</v>
      </c>
      <c r="I101" s="190" t="b">
        <f>I93='G-中天鸿锂'!I91</f>
        <v>1</v>
      </c>
      <c r="J101" s="190" t="b">
        <f>J93='G-中天鸿锂'!J91</f>
        <v>1</v>
      </c>
      <c r="K101" s="190" t="b">
        <f>K93='G-中天鸿锂'!K91</f>
        <v>1</v>
      </c>
      <c r="L101" s="190" t="b">
        <f>L93='G-中天鸿锂'!L91</f>
        <v>1</v>
      </c>
      <c r="M101" s="190" t="b">
        <f>M93='G-中天鸿锂'!M91</f>
        <v>1</v>
      </c>
      <c r="N101" s="190" t="b">
        <f>N93='G-中天鸿锂'!N91</f>
        <v>1</v>
      </c>
      <c r="O101" s="190" t="b">
        <f>O93='G-中天鸿锂'!O91</f>
        <v>1</v>
      </c>
      <c r="P101" s="190" t="b">
        <f>P93='G-中天鸿锂'!P91</f>
        <v>1</v>
      </c>
    </row>
    <row r="102" spans="7:7">
      <c r="G102" s="299">
        <f>G96-G97-G98-G99-G100</f>
        <v>0</v>
      </c>
    </row>
  </sheetData>
  <mergeCells count="39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pageMargins left="0.7" right="0.7" top="0.75" bottom="0.75" header="0.3" footer="0.3"/>
  <headerFooter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S135"/>
  <sheetViews>
    <sheetView workbookViewId="0">
      <pane xSplit="3" ySplit="5" topLeftCell="D114" activePane="bottomRight" state="frozen"/>
      <selection/>
      <selection pane="topRight"/>
      <selection pane="bottomLeft"/>
      <selection pane="bottomRight" activeCell="L140" sqref="L140"/>
    </sheetView>
  </sheetViews>
  <sheetFormatPr defaultColWidth="9" defaultRowHeight="14.25"/>
  <cols>
    <col min="1" max="1" width="11.25" style="10" customWidth="1"/>
    <col min="2" max="2" width="13.125" style="10" customWidth="1"/>
    <col min="3" max="3" width="13" style="10" customWidth="1"/>
    <col min="4" max="4" width="15" style="10" customWidth="1"/>
    <col min="5" max="5" width="14.125" style="6" customWidth="1"/>
    <col min="6" max="6" width="14" style="6" customWidth="1"/>
    <col min="7" max="12" width="11.5" style="10" customWidth="1"/>
    <col min="13" max="13" width="14.125" style="10" customWidth="1"/>
    <col min="14" max="15" width="12.75" style="10" customWidth="1"/>
    <col min="16" max="16" width="15.125" style="10" customWidth="1"/>
    <col min="17" max="17" width="17.75" style="10" customWidth="1"/>
    <col min="18" max="18" width="17" style="10" customWidth="1"/>
    <col min="19" max="19" width="10.75" style="10" customWidth="1"/>
    <col min="20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278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98" t="s">
        <v>69</v>
      </c>
      <c r="B6" s="19" t="s">
        <v>70</v>
      </c>
      <c r="C6" s="20" t="s">
        <v>70</v>
      </c>
      <c r="D6" s="21">
        <f>SUM('X-高新:X-中天鸿锂'!D6)</f>
        <v>1583209.78</v>
      </c>
      <c r="E6" s="21">
        <f>SUM('X-高新:X-中天鸿锂'!E6)</f>
        <v>772314.39</v>
      </c>
      <c r="F6" s="21">
        <f>SUM('X-高新:X-中天鸿锂'!F6)</f>
        <v>1082261.33</v>
      </c>
      <c r="G6" s="21">
        <f>SUM('X-高新:X-中天鸿锂'!G6)</f>
        <v>1272533.96</v>
      </c>
      <c r="H6" s="21">
        <f>SUM('X-高新:X-中天鸿锂'!H6)</f>
        <v>0</v>
      </c>
      <c r="I6" s="21">
        <f>SUM('X-高新:X-中天鸿锂'!I6)</f>
        <v>0</v>
      </c>
      <c r="J6" s="21">
        <f>SUM('X-高新:X-中天鸿锂'!J6)</f>
        <v>0</v>
      </c>
      <c r="K6" s="21">
        <f>SUM('X-高新:X-中天鸿锂'!K6)</f>
        <v>0</v>
      </c>
      <c r="L6" s="21">
        <f>SUM('X-高新:X-中天鸿锂'!L6)</f>
        <v>0</v>
      </c>
      <c r="M6" s="21">
        <f>SUM('X-高新:X-中天鸿锂'!M6)</f>
        <v>0</v>
      </c>
      <c r="N6" s="21">
        <f>SUM('X-高新:X-中天鸿锂'!N6)</f>
        <v>0</v>
      </c>
      <c r="O6" s="21">
        <f>SUM('X-高新:X-中天鸿锂'!O6)</f>
        <v>0</v>
      </c>
      <c r="P6" s="47">
        <f>SUM(D6:O6)</f>
        <v>4710319.46</v>
      </c>
      <c r="Q6" s="48">
        <f>P6+P7+P8+P19+P22+P23+P24+P25+P26</f>
        <v>6689407.53</v>
      </c>
      <c r="R6" s="48"/>
      <c r="S6" s="283"/>
    </row>
    <row r="7" s="5" customFormat="1" ht="17.25" customHeight="1" spans="1:19">
      <c r="A7" s="199"/>
      <c r="B7" s="23"/>
      <c r="C7" s="20" t="s">
        <v>71</v>
      </c>
      <c r="D7" s="21">
        <f>SUM('X-高新:X-中天鸿锂'!D7)</f>
        <v>83625.33</v>
      </c>
      <c r="E7" s="21">
        <f>SUM('X-高新:X-中天鸿锂'!E7)</f>
        <v>205290.5</v>
      </c>
      <c r="F7" s="21">
        <f>SUM('X-高新:X-中天鸿锂'!F7)</f>
        <v>211746.74</v>
      </c>
      <c r="G7" s="21">
        <f>SUM('X-高新:X-中天鸿锂'!G7)</f>
        <v>971267.25</v>
      </c>
      <c r="H7" s="21">
        <f>SUM('X-高新:X-中天鸿锂'!H7)</f>
        <v>0</v>
      </c>
      <c r="I7" s="21">
        <f>SUM('X-高新:X-中天鸿锂'!I7)</f>
        <v>0</v>
      </c>
      <c r="J7" s="21">
        <f>SUM('X-高新:X-中天鸿锂'!J7)</f>
        <v>0</v>
      </c>
      <c r="K7" s="21">
        <f>SUM('X-高新:X-中天鸿锂'!K7)</f>
        <v>0</v>
      </c>
      <c r="L7" s="21">
        <f>SUM('X-高新:X-中天鸿锂'!L7)</f>
        <v>0</v>
      </c>
      <c r="M7" s="21">
        <f>SUM('X-高新:X-中天鸿锂'!M7)</f>
        <v>0</v>
      </c>
      <c r="N7" s="21">
        <f>SUM('X-高新:X-中天鸿锂'!N7)</f>
        <v>0</v>
      </c>
      <c r="O7" s="21">
        <f>SUM('X-高新:X-中天鸿锂'!O7)</f>
        <v>0</v>
      </c>
      <c r="P7" s="47">
        <f t="shared" ref="P7:P70" si="0">SUM(D7:O7)</f>
        <v>1471929.82</v>
      </c>
      <c r="R7" s="48"/>
      <c r="S7" s="283"/>
    </row>
    <row r="8" s="5" customFormat="1" ht="17.25" customHeight="1" spans="1:19">
      <c r="A8" s="199"/>
      <c r="B8" s="19" t="s">
        <v>72</v>
      </c>
      <c r="C8" s="20" t="s">
        <v>72</v>
      </c>
      <c r="D8" s="21">
        <f>SUM('X-高新:X-中天鸿锂'!D8)</f>
        <v>0</v>
      </c>
      <c r="E8" s="21">
        <f>SUM('X-高新:X-中天鸿锂'!E8)</f>
        <v>50067</v>
      </c>
      <c r="F8" s="21">
        <f>SUM('X-高新:X-中天鸿锂'!F8)</f>
        <v>24967.56</v>
      </c>
      <c r="G8" s="21">
        <f>SUM('X-高新:X-中天鸿锂'!G8)</f>
        <v>72767</v>
      </c>
      <c r="H8" s="21">
        <f>SUM('X-高新:X-中天鸿锂'!H8)</f>
        <v>0</v>
      </c>
      <c r="I8" s="21">
        <f>SUM('X-高新:X-中天鸿锂'!I8)</f>
        <v>0</v>
      </c>
      <c r="J8" s="21">
        <f>SUM('X-高新:X-中天鸿锂'!J8)</f>
        <v>0</v>
      </c>
      <c r="K8" s="21">
        <f>SUM('X-高新:X-中天鸿锂'!K8)</f>
        <v>0</v>
      </c>
      <c r="L8" s="21">
        <f>SUM('X-高新:X-中天鸿锂'!L8)</f>
        <v>0</v>
      </c>
      <c r="M8" s="21">
        <f>SUM('X-高新:X-中天鸿锂'!M8)</f>
        <v>0</v>
      </c>
      <c r="N8" s="21">
        <f>SUM('X-高新:X-中天鸿锂'!N8)</f>
        <v>0</v>
      </c>
      <c r="O8" s="21">
        <f>SUM('X-高新:X-中天鸿锂'!O8)</f>
        <v>0</v>
      </c>
      <c r="P8" s="47">
        <f t="shared" si="0"/>
        <v>147801.56</v>
      </c>
      <c r="R8" s="48"/>
      <c r="S8" s="283"/>
    </row>
    <row r="9" s="5" customFormat="1" ht="17.25" customHeight="1" spans="1:19">
      <c r="A9" s="199"/>
      <c r="B9" s="19" t="s">
        <v>73</v>
      </c>
      <c r="C9" s="20" t="s">
        <v>73</v>
      </c>
      <c r="D9" s="21">
        <f>SUM('X-高新:X-中天鸿锂'!D9)</f>
        <v>0</v>
      </c>
      <c r="E9" s="21">
        <f>SUM('X-高新:X-中天鸿锂'!E9)</f>
        <v>0</v>
      </c>
      <c r="F9" s="21">
        <f>SUM('X-高新:X-中天鸿锂'!F9)</f>
        <v>0</v>
      </c>
      <c r="G9" s="21">
        <f>SUM('X-高新:X-中天鸿锂'!G9)</f>
        <v>0</v>
      </c>
      <c r="H9" s="21">
        <f>SUM('X-高新:X-中天鸿锂'!H9)</f>
        <v>0</v>
      </c>
      <c r="I9" s="21">
        <f>SUM('X-高新:X-中天鸿锂'!I9)</f>
        <v>0</v>
      </c>
      <c r="J9" s="21">
        <f>SUM('X-高新:X-中天鸿锂'!J9)</f>
        <v>0</v>
      </c>
      <c r="K9" s="21">
        <f>SUM('X-高新:X-中天鸿锂'!K9)</f>
        <v>0</v>
      </c>
      <c r="L9" s="21">
        <f>SUM('X-高新:X-中天鸿锂'!L9)</f>
        <v>0</v>
      </c>
      <c r="M9" s="21">
        <f>SUM('X-高新:X-中天鸿锂'!M9)</f>
        <v>0</v>
      </c>
      <c r="N9" s="21">
        <f>SUM('X-高新:X-中天鸿锂'!N9)</f>
        <v>0</v>
      </c>
      <c r="O9" s="21">
        <f>SUM('X-高新:X-中天鸿锂'!O9)</f>
        <v>0</v>
      </c>
      <c r="P9" s="47">
        <f t="shared" si="0"/>
        <v>0</v>
      </c>
      <c r="R9" s="48"/>
      <c r="S9" s="283"/>
    </row>
    <row r="10" s="5" customFormat="1" ht="17.25" customHeight="1" spans="1:19">
      <c r="A10" s="199"/>
      <c r="B10" s="19" t="s">
        <v>74</v>
      </c>
      <c r="C10" s="20" t="s">
        <v>75</v>
      </c>
      <c r="D10" s="21">
        <f>SUM('X-高新:X-中天鸿锂'!D10)</f>
        <v>0</v>
      </c>
      <c r="E10" s="21">
        <f>SUM('X-高新:X-中天鸿锂'!E10)</f>
        <v>-20</v>
      </c>
      <c r="F10" s="21">
        <f>SUM('X-高新:X-中天鸿锂'!F10)</f>
        <v>-200</v>
      </c>
      <c r="G10" s="21">
        <f>SUM('X-高新:X-中天鸿锂'!G10)</f>
        <v>-300</v>
      </c>
      <c r="H10" s="21">
        <f>SUM('X-高新:X-中天鸿锂'!H10)</f>
        <v>0</v>
      </c>
      <c r="I10" s="21">
        <f>SUM('X-高新:X-中天鸿锂'!I10)</f>
        <v>0</v>
      </c>
      <c r="J10" s="21">
        <f>SUM('X-高新:X-中天鸿锂'!J10)</f>
        <v>0</v>
      </c>
      <c r="K10" s="21">
        <f>SUM('X-高新:X-中天鸿锂'!K10)</f>
        <v>0</v>
      </c>
      <c r="L10" s="21">
        <f>SUM('X-高新:X-中天鸿锂'!L10)</f>
        <v>0</v>
      </c>
      <c r="M10" s="21">
        <f>SUM('X-高新:X-中天鸿锂'!M10)</f>
        <v>0</v>
      </c>
      <c r="N10" s="21">
        <f>SUM('X-高新:X-中天鸿锂'!N10)</f>
        <v>0</v>
      </c>
      <c r="O10" s="21">
        <f>SUM('X-高新:X-中天鸿锂'!O10)</f>
        <v>0</v>
      </c>
      <c r="P10" s="47">
        <f t="shared" si="0"/>
        <v>-520</v>
      </c>
      <c r="R10" s="48"/>
      <c r="S10" s="283"/>
    </row>
    <row r="11" s="5" customFormat="1" ht="17.25" customHeight="1" spans="1:19">
      <c r="A11" s="199"/>
      <c r="B11" s="24"/>
      <c r="C11" s="25" t="s">
        <v>76</v>
      </c>
      <c r="D11" s="21">
        <f>SUM('X-高新:X-中天鸿锂'!D11)</f>
        <v>9000</v>
      </c>
      <c r="E11" s="21">
        <f>SUM('X-高新:X-中天鸿锂'!E11)</f>
        <v>0</v>
      </c>
      <c r="F11" s="21">
        <f>SUM('X-高新:X-中天鸿锂'!F11)</f>
        <v>1350</v>
      </c>
      <c r="G11" s="21">
        <f>SUM('X-高新:X-中天鸿锂'!G11)</f>
        <v>-9000</v>
      </c>
      <c r="H11" s="21">
        <f>SUM('X-高新:X-中天鸿锂'!H11)</f>
        <v>0</v>
      </c>
      <c r="I11" s="21">
        <f>SUM('X-高新:X-中天鸿锂'!I11)</f>
        <v>0</v>
      </c>
      <c r="J11" s="21">
        <f>SUM('X-高新:X-中天鸿锂'!J11)</f>
        <v>0</v>
      </c>
      <c r="K11" s="21">
        <f>SUM('X-高新:X-中天鸿锂'!K11)</f>
        <v>0</v>
      </c>
      <c r="L11" s="21">
        <f>SUM('X-高新:X-中天鸿锂'!L11)</f>
        <v>0</v>
      </c>
      <c r="M11" s="21">
        <f>SUM('X-高新:X-中天鸿锂'!M11)</f>
        <v>0</v>
      </c>
      <c r="N11" s="21">
        <f>SUM('X-高新:X-中天鸿锂'!N11)</f>
        <v>0</v>
      </c>
      <c r="O11" s="21">
        <f>SUM('X-高新:X-中天鸿锂'!O11)</f>
        <v>0</v>
      </c>
      <c r="P11" s="47">
        <f t="shared" si="0"/>
        <v>1350</v>
      </c>
      <c r="R11" s="48"/>
      <c r="S11" s="283"/>
    </row>
    <row r="12" s="5" customFormat="1" ht="17.25" customHeight="1" spans="1:19">
      <c r="A12" s="199"/>
      <c r="B12" s="24"/>
      <c r="C12" s="20" t="s">
        <v>77</v>
      </c>
      <c r="D12" s="21">
        <f>SUM('X-高新:X-中天鸿锂'!D12)</f>
        <v>0</v>
      </c>
      <c r="E12" s="21">
        <f>SUM('X-高新:X-中天鸿锂'!E12)</f>
        <v>0</v>
      </c>
      <c r="F12" s="21">
        <f>SUM('X-高新:X-中天鸿锂'!F12)</f>
        <v>15660</v>
      </c>
      <c r="G12" s="21">
        <f>SUM('X-高新:X-中天鸿锂'!G12)</f>
        <v>12350</v>
      </c>
      <c r="H12" s="21">
        <f>SUM('X-高新:X-中天鸿锂'!H12)</f>
        <v>0</v>
      </c>
      <c r="I12" s="21">
        <f>SUM('X-高新:X-中天鸿锂'!I12)</f>
        <v>0</v>
      </c>
      <c r="J12" s="21">
        <f>SUM('X-高新:X-中天鸿锂'!J12)</f>
        <v>0</v>
      </c>
      <c r="K12" s="21">
        <f>SUM('X-高新:X-中天鸿锂'!K12)</f>
        <v>0</v>
      </c>
      <c r="L12" s="21">
        <f>SUM('X-高新:X-中天鸿锂'!L12)</f>
        <v>0</v>
      </c>
      <c r="M12" s="21">
        <f>SUM('X-高新:X-中天鸿锂'!M12)</f>
        <v>0</v>
      </c>
      <c r="N12" s="21">
        <f>SUM('X-高新:X-中天鸿锂'!N12)</f>
        <v>0</v>
      </c>
      <c r="O12" s="21">
        <f>SUM('X-高新:X-中天鸿锂'!O12)</f>
        <v>0</v>
      </c>
      <c r="P12" s="47">
        <f t="shared" si="0"/>
        <v>28010</v>
      </c>
      <c r="R12" s="48"/>
      <c r="S12" s="283"/>
    </row>
    <row r="13" s="5" customFormat="1" ht="17.25" customHeight="1" spans="1:19">
      <c r="A13" s="199"/>
      <c r="B13" s="24"/>
      <c r="C13" s="25" t="s">
        <v>78</v>
      </c>
      <c r="D13" s="21">
        <f>SUM('X-高新:X-中天鸿锂'!D13)</f>
        <v>0</v>
      </c>
      <c r="E13" s="21">
        <f>SUM('X-高新:X-中天鸿锂'!E13)</f>
        <v>0</v>
      </c>
      <c r="F13" s="21">
        <f>SUM('X-高新:X-中天鸿锂'!F13)</f>
        <v>0</v>
      </c>
      <c r="G13" s="21">
        <f>SUM('X-高新:X-中天鸿锂'!G13)</f>
        <v>0</v>
      </c>
      <c r="H13" s="21">
        <f>SUM('X-高新:X-中天鸿锂'!H13)</f>
        <v>0</v>
      </c>
      <c r="I13" s="21">
        <f>SUM('X-高新:X-中天鸿锂'!I13)</f>
        <v>0</v>
      </c>
      <c r="J13" s="21">
        <f>SUM('X-高新:X-中天鸿锂'!J13)</f>
        <v>0</v>
      </c>
      <c r="K13" s="21">
        <f>SUM('X-高新:X-中天鸿锂'!K13)</f>
        <v>0</v>
      </c>
      <c r="L13" s="21">
        <f>SUM('X-高新:X-中天鸿锂'!L13)</f>
        <v>0</v>
      </c>
      <c r="M13" s="21">
        <f>SUM('X-高新:X-中天鸿锂'!M13)</f>
        <v>0</v>
      </c>
      <c r="N13" s="21">
        <f>SUM('X-高新:X-中天鸿锂'!N13)</f>
        <v>0</v>
      </c>
      <c r="O13" s="21">
        <f>SUM('X-高新:X-中天鸿锂'!O13)</f>
        <v>0</v>
      </c>
      <c r="P13" s="47">
        <f t="shared" si="0"/>
        <v>0</v>
      </c>
      <c r="R13" s="48"/>
      <c r="S13" s="283"/>
    </row>
    <row r="14" s="5" customFormat="1" ht="17.25" customHeight="1" spans="1:19">
      <c r="A14" s="199"/>
      <c r="B14" s="24"/>
      <c r="C14" s="20" t="s">
        <v>79</v>
      </c>
      <c r="D14" s="21">
        <f>SUM('X-高新:X-中天鸿锂'!D14)</f>
        <v>100</v>
      </c>
      <c r="E14" s="21">
        <f>SUM('X-高新:X-中天鸿锂'!E14)</f>
        <v>1300</v>
      </c>
      <c r="F14" s="21">
        <f>SUM('X-高新:X-中天鸿锂'!F14)</f>
        <v>500</v>
      </c>
      <c r="G14" s="21">
        <f>SUM('X-高新:X-中天鸿锂'!G14)</f>
        <v>550</v>
      </c>
      <c r="H14" s="21">
        <f>SUM('X-高新:X-中天鸿锂'!H14)</f>
        <v>0</v>
      </c>
      <c r="I14" s="21">
        <f>SUM('X-高新:X-中天鸿锂'!I14)</f>
        <v>0</v>
      </c>
      <c r="J14" s="21">
        <f>SUM('X-高新:X-中天鸿锂'!J14)</f>
        <v>0</v>
      </c>
      <c r="K14" s="21">
        <f>SUM('X-高新:X-中天鸿锂'!K14)</f>
        <v>0</v>
      </c>
      <c r="L14" s="21">
        <f>SUM('X-高新:X-中天鸿锂'!L14)</f>
        <v>0</v>
      </c>
      <c r="M14" s="21">
        <f>SUM('X-高新:X-中天鸿锂'!M14)</f>
        <v>0</v>
      </c>
      <c r="N14" s="21">
        <f>SUM('X-高新:X-中天鸿锂'!N14)</f>
        <v>0</v>
      </c>
      <c r="O14" s="21">
        <f>SUM('X-高新:X-中天鸿锂'!O14)</f>
        <v>0</v>
      </c>
      <c r="P14" s="47">
        <f t="shared" si="0"/>
        <v>2450</v>
      </c>
      <c r="R14" s="48"/>
      <c r="S14" s="283"/>
    </row>
    <row r="15" s="5" customFormat="1" ht="17.25" customHeight="1" spans="1:19">
      <c r="A15" s="199"/>
      <c r="B15" s="24"/>
      <c r="C15" s="25" t="s">
        <v>80</v>
      </c>
      <c r="D15" s="21">
        <f>SUM('X-高新:X-中天鸿锂'!D15)</f>
        <v>0</v>
      </c>
      <c r="E15" s="21">
        <f>SUM('X-高新:X-中天鸿锂'!E15)</f>
        <v>0</v>
      </c>
      <c r="F15" s="21">
        <f>SUM('X-高新:X-中天鸿锂'!F15)</f>
        <v>0</v>
      </c>
      <c r="G15" s="21">
        <f>SUM('X-高新:X-中天鸿锂'!G15)</f>
        <v>0</v>
      </c>
      <c r="H15" s="21">
        <f>SUM('X-高新:X-中天鸿锂'!H15)</f>
        <v>0</v>
      </c>
      <c r="I15" s="21">
        <f>SUM('X-高新:X-中天鸿锂'!I15)</f>
        <v>0</v>
      </c>
      <c r="J15" s="21">
        <f>SUM('X-高新:X-中天鸿锂'!J15)</f>
        <v>0</v>
      </c>
      <c r="K15" s="21">
        <f>SUM('X-高新:X-中天鸿锂'!K15)</f>
        <v>0</v>
      </c>
      <c r="L15" s="21">
        <f>SUM('X-高新:X-中天鸿锂'!L15)</f>
        <v>0</v>
      </c>
      <c r="M15" s="21">
        <f>SUM('X-高新:X-中天鸿锂'!M15)</f>
        <v>0</v>
      </c>
      <c r="N15" s="21">
        <f>SUM('X-高新:X-中天鸿锂'!N15)</f>
        <v>0</v>
      </c>
      <c r="O15" s="21">
        <f>SUM('X-高新:X-中天鸿锂'!O15)</f>
        <v>0</v>
      </c>
      <c r="P15" s="47">
        <f t="shared" si="0"/>
        <v>0</v>
      </c>
      <c r="R15" s="48"/>
      <c r="S15" s="283"/>
    </row>
    <row r="16" s="5" customFormat="1" ht="17.25" customHeight="1" spans="1:19">
      <c r="A16" s="199"/>
      <c r="B16" s="24"/>
      <c r="C16" s="25" t="s">
        <v>81</v>
      </c>
      <c r="D16" s="21">
        <f>SUM('X-高新:X-中天鸿锂'!D16)</f>
        <v>0</v>
      </c>
      <c r="E16" s="21">
        <f>SUM('X-高新:X-中天鸿锂'!E16)</f>
        <v>0</v>
      </c>
      <c r="F16" s="21">
        <f>SUM('X-高新:X-中天鸿锂'!F16)</f>
        <v>12000</v>
      </c>
      <c r="G16" s="21">
        <f>SUM('X-高新:X-中天鸿锂'!G16)</f>
        <v>0</v>
      </c>
      <c r="H16" s="21">
        <f>SUM('X-高新:X-中天鸿锂'!H16)</f>
        <v>0</v>
      </c>
      <c r="I16" s="21">
        <f>SUM('X-高新:X-中天鸿锂'!I16)</f>
        <v>0</v>
      </c>
      <c r="J16" s="21">
        <f>SUM('X-高新:X-中天鸿锂'!J16)</f>
        <v>0</v>
      </c>
      <c r="K16" s="21">
        <f>SUM('X-高新:X-中天鸿锂'!K16)</f>
        <v>0</v>
      </c>
      <c r="L16" s="21">
        <f>SUM('X-高新:X-中天鸿锂'!L16)</f>
        <v>0</v>
      </c>
      <c r="M16" s="21">
        <f>SUM('X-高新:X-中天鸿锂'!M16)</f>
        <v>0</v>
      </c>
      <c r="N16" s="21">
        <f>SUM('X-高新:X-中天鸿锂'!N16)</f>
        <v>0</v>
      </c>
      <c r="O16" s="21">
        <f>SUM('X-高新:X-中天鸿锂'!O16)</f>
        <v>0</v>
      </c>
      <c r="P16" s="47">
        <f t="shared" si="0"/>
        <v>12000</v>
      </c>
      <c r="R16" s="48"/>
      <c r="S16" s="283"/>
    </row>
    <row r="17" s="5" customFormat="1" ht="17.25" customHeight="1" spans="1:19">
      <c r="A17" s="199"/>
      <c r="B17" s="24"/>
      <c r="C17" s="25" t="s">
        <v>82</v>
      </c>
      <c r="D17" s="21">
        <f>SUM('X-高新:X-中天鸿锂'!D17)</f>
        <v>0</v>
      </c>
      <c r="E17" s="21">
        <f>SUM('X-高新:X-中天鸿锂'!E17)</f>
        <v>0</v>
      </c>
      <c r="F17" s="21">
        <f>SUM('X-高新:X-中天鸿锂'!F17)</f>
        <v>0</v>
      </c>
      <c r="G17" s="21">
        <f>SUM('X-高新:X-中天鸿锂'!G17)</f>
        <v>0</v>
      </c>
      <c r="H17" s="21">
        <f>SUM('X-高新:X-中天鸿锂'!H17)</f>
        <v>0</v>
      </c>
      <c r="I17" s="21">
        <f>SUM('X-高新:X-中天鸿锂'!I17)</f>
        <v>0</v>
      </c>
      <c r="J17" s="21">
        <f>SUM('X-高新:X-中天鸿锂'!J17)</f>
        <v>0</v>
      </c>
      <c r="K17" s="21">
        <f>SUM('X-高新:X-中天鸿锂'!K17)</f>
        <v>0</v>
      </c>
      <c r="L17" s="21">
        <f>SUM('X-高新:X-中天鸿锂'!L17)</f>
        <v>0</v>
      </c>
      <c r="M17" s="21">
        <f>SUM('X-高新:X-中天鸿锂'!M17)</f>
        <v>0</v>
      </c>
      <c r="N17" s="21">
        <f>SUM('X-高新:X-中天鸿锂'!N17)</f>
        <v>0</v>
      </c>
      <c r="O17" s="21">
        <f>SUM('X-高新:X-中天鸿锂'!O17)</f>
        <v>0</v>
      </c>
      <c r="P17" s="47">
        <f t="shared" si="0"/>
        <v>0</v>
      </c>
      <c r="R17" s="48"/>
      <c r="S17" s="283"/>
    </row>
    <row r="18" s="5" customFormat="1" ht="17.25" customHeight="1" spans="1:19">
      <c r="A18" s="199"/>
      <c r="B18" s="23"/>
      <c r="C18" s="25" t="s">
        <v>83</v>
      </c>
      <c r="D18" s="21">
        <f>SUM('X-高新:X-中天鸿锂'!D18)</f>
        <v>229.7</v>
      </c>
      <c r="E18" s="21">
        <f>SUM('X-高新:X-中天鸿锂'!E18)</f>
        <v>0</v>
      </c>
      <c r="F18" s="21">
        <f>SUM('X-高新:X-中天鸿锂'!F18)</f>
        <v>0</v>
      </c>
      <c r="G18" s="21">
        <f>SUM('X-高新:X-中天鸿锂'!G18)</f>
        <v>0</v>
      </c>
      <c r="H18" s="21">
        <f>SUM('X-高新:X-中天鸿锂'!H18)</f>
        <v>0</v>
      </c>
      <c r="I18" s="21">
        <f>SUM('X-高新:X-中天鸿锂'!I18)</f>
        <v>0</v>
      </c>
      <c r="J18" s="21">
        <f>SUM('X-高新:X-中天鸿锂'!J18)</f>
        <v>0</v>
      </c>
      <c r="K18" s="21">
        <f>SUM('X-高新:X-中天鸿锂'!K18)</f>
        <v>0</v>
      </c>
      <c r="L18" s="21">
        <f>SUM('X-高新:X-中天鸿锂'!L18)</f>
        <v>0</v>
      </c>
      <c r="M18" s="21">
        <f>SUM('X-高新:X-中天鸿锂'!M18)</f>
        <v>0</v>
      </c>
      <c r="N18" s="21">
        <f>SUM('X-高新:X-中天鸿锂'!N18)</f>
        <v>0</v>
      </c>
      <c r="O18" s="21">
        <f>SUM('X-高新:X-中天鸿锂'!O18)</f>
        <v>0</v>
      </c>
      <c r="P18" s="47">
        <f t="shared" si="0"/>
        <v>229.7</v>
      </c>
      <c r="R18" s="48"/>
      <c r="S18" s="283"/>
    </row>
    <row r="19" s="5" customFormat="1" ht="17.25" customHeight="1" spans="1:19">
      <c r="A19" s="199"/>
      <c r="B19" s="26" t="s">
        <v>84</v>
      </c>
      <c r="C19" s="25" t="s">
        <v>84</v>
      </c>
      <c r="D19" s="21">
        <f>SUM('X-高新:X-中天鸿锂'!D19)</f>
        <v>29142</v>
      </c>
      <c r="E19" s="21">
        <f>SUM('X-高新:X-中天鸿锂'!E19)</f>
        <v>25161</v>
      </c>
      <c r="F19" s="21">
        <f>SUM('X-高新:X-中天鸿锂'!F19)</f>
        <v>45477</v>
      </c>
      <c r="G19" s="21">
        <f>SUM('X-高新:X-中天鸿锂'!G19)</f>
        <v>27921</v>
      </c>
      <c r="H19" s="21">
        <f>SUM('X-高新:X-中天鸿锂'!H19)</f>
        <v>0</v>
      </c>
      <c r="I19" s="21">
        <f>SUM('X-高新:X-中天鸿锂'!I19)</f>
        <v>0</v>
      </c>
      <c r="J19" s="21">
        <f>SUM('X-高新:X-中天鸿锂'!J19)</f>
        <v>0</v>
      </c>
      <c r="K19" s="21">
        <f>SUM('X-高新:X-中天鸿锂'!K19)</f>
        <v>0</v>
      </c>
      <c r="L19" s="21">
        <f>SUM('X-高新:X-中天鸿锂'!L19)</f>
        <v>0</v>
      </c>
      <c r="M19" s="21">
        <f>SUM('X-高新:X-中天鸿锂'!M19)</f>
        <v>0</v>
      </c>
      <c r="N19" s="21">
        <f>SUM('X-高新:X-中天鸿锂'!N19)</f>
        <v>0</v>
      </c>
      <c r="O19" s="21">
        <f>SUM('X-高新:X-中天鸿锂'!O19)</f>
        <v>0</v>
      </c>
      <c r="P19" s="47">
        <f t="shared" si="0"/>
        <v>127701</v>
      </c>
      <c r="R19" s="48"/>
      <c r="S19" s="283"/>
    </row>
    <row r="20" s="5" customFormat="1" ht="17.25" customHeight="1" spans="1:19">
      <c r="A20" s="199"/>
      <c r="B20" s="19" t="s">
        <v>85</v>
      </c>
      <c r="C20" s="20" t="s">
        <v>85</v>
      </c>
      <c r="D20" s="21">
        <f>SUM('X-高新:X-中天鸿锂'!D20)</f>
        <v>0</v>
      </c>
      <c r="E20" s="21">
        <f>SUM('X-高新:X-中天鸿锂'!E20)</f>
        <v>0</v>
      </c>
      <c r="F20" s="21">
        <f>SUM('X-高新:X-中天鸿锂'!F20)</f>
        <v>0</v>
      </c>
      <c r="G20" s="21">
        <f>SUM('X-高新:X-中天鸿锂'!G20)</f>
        <v>16</v>
      </c>
      <c r="H20" s="21">
        <f>SUM('X-高新:X-中天鸿锂'!H20)</f>
        <v>0</v>
      </c>
      <c r="I20" s="21">
        <f>SUM('X-高新:X-中天鸿锂'!I20)</f>
        <v>0</v>
      </c>
      <c r="J20" s="21">
        <f>SUM('X-高新:X-中天鸿锂'!J20)</f>
        <v>0</v>
      </c>
      <c r="K20" s="21">
        <f>SUM('X-高新:X-中天鸿锂'!K20)</f>
        <v>0</v>
      </c>
      <c r="L20" s="21">
        <f>SUM('X-高新:X-中天鸿锂'!L20)</f>
        <v>0</v>
      </c>
      <c r="M20" s="21">
        <f>SUM('X-高新:X-中天鸿锂'!M20)</f>
        <v>0</v>
      </c>
      <c r="N20" s="21">
        <f>SUM('X-高新:X-中天鸿锂'!N20)</f>
        <v>0</v>
      </c>
      <c r="O20" s="21">
        <f>SUM('X-高新:X-中天鸿锂'!O20)</f>
        <v>0</v>
      </c>
      <c r="P20" s="47">
        <f t="shared" si="0"/>
        <v>16</v>
      </c>
      <c r="R20" s="48"/>
      <c r="S20" s="283"/>
    </row>
    <row r="21" s="5" customFormat="1" ht="17.25" customHeight="1" spans="1:19">
      <c r="A21" s="199"/>
      <c r="B21" s="19" t="s">
        <v>86</v>
      </c>
      <c r="C21" s="20" t="s">
        <v>86</v>
      </c>
      <c r="D21" s="21">
        <f>SUM('X-高新:X-中天鸿锂'!D21)</f>
        <v>8069.42</v>
      </c>
      <c r="E21" s="21">
        <f>SUM('X-高新:X-中天鸿锂'!E21)</f>
        <v>2264.15</v>
      </c>
      <c r="F21" s="21">
        <f>SUM('X-高新:X-中天鸿锂'!F21)</f>
        <v>18376.79</v>
      </c>
      <c r="G21" s="21">
        <f>SUM('X-高新:X-中天鸿锂'!G21)</f>
        <v>42173.48</v>
      </c>
      <c r="H21" s="21">
        <f>SUM('X-高新:X-中天鸿锂'!H21)</f>
        <v>0</v>
      </c>
      <c r="I21" s="21">
        <f>SUM('X-高新:X-中天鸿锂'!I21)</f>
        <v>0</v>
      </c>
      <c r="J21" s="21">
        <f>SUM('X-高新:X-中天鸿锂'!J21)</f>
        <v>0</v>
      </c>
      <c r="K21" s="21">
        <f>SUM('X-高新:X-中天鸿锂'!K21)</f>
        <v>0</v>
      </c>
      <c r="L21" s="21">
        <f>SUM('X-高新:X-中天鸿锂'!L21)</f>
        <v>0</v>
      </c>
      <c r="M21" s="21">
        <f>SUM('X-高新:X-中天鸿锂'!M21)</f>
        <v>0</v>
      </c>
      <c r="N21" s="21">
        <f>SUM('X-高新:X-中天鸿锂'!N21)</f>
        <v>0</v>
      </c>
      <c r="O21" s="21">
        <f>SUM('X-高新:X-中天鸿锂'!O21)</f>
        <v>0</v>
      </c>
      <c r="P21" s="47">
        <f t="shared" si="0"/>
        <v>70883.84</v>
      </c>
      <c r="R21" s="48"/>
      <c r="S21" s="283"/>
    </row>
    <row r="22" s="5" customFormat="1" ht="17.25" customHeight="1" spans="1:19">
      <c r="A22" s="199"/>
      <c r="B22" s="19" t="s">
        <v>87</v>
      </c>
      <c r="C22" s="25" t="s">
        <v>88</v>
      </c>
      <c r="D22" s="21">
        <f>SUM('X-高新:X-中天鸿锂'!D22)</f>
        <v>55613.14</v>
      </c>
      <c r="E22" s="21">
        <f>SUM('X-高新:X-中天鸿锂'!E22)</f>
        <v>49061.54</v>
      </c>
      <c r="F22" s="21">
        <f>SUM('X-高新:X-中天鸿锂'!F22)</f>
        <v>-7818.7</v>
      </c>
      <c r="G22" s="21">
        <f>SUM('X-高新:X-中天鸿锂'!G22)</f>
        <v>1302.08</v>
      </c>
      <c r="H22" s="21">
        <f>SUM('X-高新:X-中天鸿锂'!H22)</f>
        <v>0</v>
      </c>
      <c r="I22" s="21">
        <f>SUM('X-高新:X-中天鸿锂'!I22)</f>
        <v>0</v>
      </c>
      <c r="J22" s="21">
        <f>SUM('X-高新:X-中天鸿锂'!J22)</f>
        <v>0</v>
      </c>
      <c r="K22" s="21">
        <f>SUM('X-高新:X-中天鸿锂'!K22)</f>
        <v>0</v>
      </c>
      <c r="L22" s="21">
        <f>SUM('X-高新:X-中天鸿锂'!L22)</f>
        <v>0</v>
      </c>
      <c r="M22" s="21">
        <f>SUM('X-高新:X-中天鸿锂'!M22)</f>
        <v>0</v>
      </c>
      <c r="N22" s="21">
        <f>SUM('X-高新:X-中天鸿锂'!N22)</f>
        <v>0</v>
      </c>
      <c r="O22" s="21">
        <f>SUM('X-高新:X-中天鸿锂'!O22)</f>
        <v>0</v>
      </c>
      <c r="P22" s="47">
        <f t="shared" si="0"/>
        <v>98158.06</v>
      </c>
      <c r="R22" s="48"/>
      <c r="S22" s="283"/>
    </row>
    <row r="23" s="5" customFormat="1" ht="17.25" customHeight="1" spans="1:19">
      <c r="A23" s="199"/>
      <c r="B23" s="24"/>
      <c r="C23" s="25" t="s">
        <v>89</v>
      </c>
      <c r="D23" s="21">
        <f>SUM('X-高新:X-中天鸿锂'!D23)</f>
        <v>3071.55</v>
      </c>
      <c r="E23" s="21">
        <f>SUM('X-高新:X-中天鸿锂'!E23)</f>
        <v>882.94</v>
      </c>
      <c r="F23" s="21">
        <f>SUM('X-高新:X-中天鸿锂'!F23)</f>
        <v>288.7</v>
      </c>
      <c r="G23" s="21">
        <f>SUM('X-高新:X-中天鸿锂'!G23)</f>
        <v>-49.72</v>
      </c>
      <c r="H23" s="21">
        <f>SUM('X-高新:X-中天鸿锂'!H23)</f>
        <v>0</v>
      </c>
      <c r="I23" s="21">
        <f>SUM('X-高新:X-中天鸿锂'!I23)</f>
        <v>0</v>
      </c>
      <c r="J23" s="21">
        <f>SUM('X-高新:X-中天鸿锂'!J23)</f>
        <v>0</v>
      </c>
      <c r="K23" s="21">
        <f>SUM('X-高新:X-中天鸿锂'!K23)</f>
        <v>0</v>
      </c>
      <c r="L23" s="21">
        <f>SUM('X-高新:X-中天鸿锂'!L23)</f>
        <v>0</v>
      </c>
      <c r="M23" s="21">
        <f>SUM('X-高新:X-中天鸿锂'!M23)</f>
        <v>0</v>
      </c>
      <c r="N23" s="21">
        <f>SUM('X-高新:X-中天鸿锂'!N23)</f>
        <v>0</v>
      </c>
      <c r="O23" s="21">
        <f>SUM('X-高新:X-中天鸿锂'!O23)</f>
        <v>0</v>
      </c>
      <c r="P23" s="47">
        <f t="shared" si="0"/>
        <v>4193.47</v>
      </c>
      <c r="R23" s="48"/>
      <c r="S23" s="283"/>
    </row>
    <row r="24" s="5" customFormat="1" ht="17.25" customHeight="1" spans="1:19">
      <c r="A24" s="199"/>
      <c r="B24" s="24"/>
      <c r="C24" s="25" t="s">
        <v>90</v>
      </c>
      <c r="D24" s="21">
        <f>SUM('X-高新:X-中天鸿锂'!D24)</f>
        <v>1516.93</v>
      </c>
      <c r="E24" s="21">
        <f>SUM('X-高新:X-中天鸿锂'!E24)</f>
        <v>1253.37</v>
      </c>
      <c r="F24" s="21">
        <f>SUM('X-高新:X-中天鸿锂'!F24)</f>
        <v>-701.01</v>
      </c>
      <c r="G24" s="21">
        <f>SUM('X-高新:X-中天鸿锂'!G24)</f>
        <v>82.11</v>
      </c>
      <c r="H24" s="21">
        <f>SUM('X-高新:X-中天鸿锂'!H24)</f>
        <v>0</v>
      </c>
      <c r="I24" s="21">
        <f>SUM('X-高新:X-中天鸿锂'!I24)</f>
        <v>0</v>
      </c>
      <c r="J24" s="21">
        <f>SUM('X-高新:X-中天鸿锂'!J24)</f>
        <v>0</v>
      </c>
      <c r="K24" s="21">
        <f>SUM('X-高新:X-中天鸿锂'!K24)</f>
        <v>0</v>
      </c>
      <c r="L24" s="21">
        <f>SUM('X-高新:X-中天鸿锂'!L24)</f>
        <v>0</v>
      </c>
      <c r="M24" s="21">
        <f>SUM('X-高新:X-中天鸿锂'!M24)</f>
        <v>0</v>
      </c>
      <c r="N24" s="21">
        <f>SUM('X-高新:X-中天鸿锂'!N24)</f>
        <v>0</v>
      </c>
      <c r="O24" s="21">
        <f>SUM('X-高新:X-中天鸿锂'!O24)</f>
        <v>0</v>
      </c>
      <c r="P24" s="47">
        <f t="shared" si="0"/>
        <v>2151.4</v>
      </c>
      <c r="R24" s="48"/>
      <c r="S24" s="283"/>
    </row>
    <row r="25" s="5" customFormat="1" ht="17.25" customHeight="1" spans="1:19">
      <c r="A25" s="199"/>
      <c r="B25" s="24"/>
      <c r="C25" s="25" t="s">
        <v>91</v>
      </c>
      <c r="D25" s="21">
        <f>SUM('X-高新:X-中天鸿锂'!D25)</f>
        <v>32064.98</v>
      </c>
      <c r="E25" s="21">
        <f>SUM('X-高新:X-中天鸿锂'!E25)</f>
        <v>28444.67</v>
      </c>
      <c r="F25" s="21">
        <f>SUM('X-高新:X-中天鸿锂'!F25)</f>
        <v>30441.06</v>
      </c>
      <c r="G25" s="21">
        <f>SUM('X-高新:X-中天鸿锂'!G25)</f>
        <v>20348.99</v>
      </c>
      <c r="H25" s="21">
        <f>SUM('X-高新:X-中天鸿锂'!H25)</f>
        <v>0</v>
      </c>
      <c r="I25" s="21">
        <f>SUM('X-高新:X-中天鸿锂'!I25)</f>
        <v>0</v>
      </c>
      <c r="J25" s="21">
        <f>SUM('X-高新:X-中天鸿锂'!J25)</f>
        <v>0</v>
      </c>
      <c r="K25" s="21">
        <f>SUM('X-高新:X-中天鸿锂'!K25)</f>
        <v>0</v>
      </c>
      <c r="L25" s="21">
        <f>SUM('X-高新:X-中天鸿锂'!L25)</f>
        <v>0</v>
      </c>
      <c r="M25" s="21">
        <f>SUM('X-高新:X-中天鸿锂'!M25)</f>
        <v>0</v>
      </c>
      <c r="N25" s="21">
        <f>SUM('X-高新:X-中天鸿锂'!N25)</f>
        <v>0</v>
      </c>
      <c r="O25" s="21">
        <f>SUM('X-高新:X-中天鸿锂'!O25)</f>
        <v>0</v>
      </c>
      <c r="P25" s="47">
        <f t="shared" si="0"/>
        <v>111299.7</v>
      </c>
      <c r="R25" s="48"/>
      <c r="S25" s="283"/>
    </row>
    <row r="26" s="5" customFormat="1" ht="17.25" customHeight="1" spans="1:19">
      <c r="A26" s="199"/>
      <c r="B26" s="23"/>
      <c r="C26" s="25" t="s">
        <v>92</v>
      </c>
      <c r="D26" s="21">
        <f>SUM('X-高新:X-中天鸿锂'!D26)</f>
        <v>4658.64</v>
      </c>
      <c r="E26" s="21">
        <f>SUM('X-高新:X-中天鸿锂'!E26)</f>
        <v>3164.23</v>
      </c>
      <c r="F26" s="21">
        <f>SUM('X-高新:X-中天鸿锂'!F26)</f>
        <v>4645.76</v>
      </c>
      <c r="G26" s="21">
        <f>SUM('X-高新:X-中天鸿锂'!G26)</f>
        <v>3384.43</v>
      </c>
      <c r="H26" s="21">
        <f>SUM('X-高新:X-中天鸿锂'!H26)</f>
        <v>0</v>
      </c>
      <c r="I26" s="21">
        <f>SUM('X-高新:X-中天鸿锂'!I26)</f>
        <v>0</v>
      </c>
      <c r="J26" s="21">
        <f>SUM('X-高新:X-中天鸿锂'!J26)</f>
        <v>0</v>
      </c>
      <c r="K26" s="21">
        <f>SUM('X-高新:X-中天鸿锂'!K26)</f>
        <v>0</v>
      </c>
      <c r="L26" s="21">
        <f>SUM('X-高新:X-中天鸿锂'!L26)</f>
        <v>0</v>
      </c>
      <c r="M26" s="21">
        <f>SUM('X-高新:X-中天鸿锂'!M26)</f>
        <v>0</v>
      </c>
      <c r="N26" s="21">
        <f>SUM('X-高新:X-中天鸿锂'!N26)</f>
        <v>0</v>
      </c>
      <c r="O26" s="21">
        <f>SUM('X-高新:X-中天鸿锂'!O26)</f>
        <v>0</v>
      </c>
      <c r="P26" s="47">
        <f t="shared" si="0"/>
        <v>15853.06</v>
      </c>
      <c r="R26" s="48"/>
      <c r="S26" s="283"/>
    </row>
    <row r="27" s="5" customFormat="1" ht="17.25" customHeight="1" spans="1:19">
      <c r="A27" s="200"/>
      <c r="B27" s="19" t="s">
        <v>93</v>
      </c>
      <c r="C27" s="20" t="s">
        <v>93</v>
      </c>
      <c r="D27" s="21">
        <f>SUM('X-高新:X-中天鸿锂'!D27)</f>
        <v>113.84</v>
      </c>
      <c r="E27" s="21">
        <f>SUM('X-高新:X-中天鸿锂'!E27)</f>
        <v>0</v>
      </c>
      <c r="F27" s="21">
        <f>SUM('X-高新:X-中天鸿锂'!F27)</f>
        <v>0</v>
      </c>
      <c r="G27" s="21">
        <f>SUM('X-高新:X-中天鸿锂'!G27)</f>
        <v>0</v>
      </c>
      <c r="H27" s="21">
        <f>SUM('X-高新:X-中天鸿锂'!H27)</f>
        <v>0</v>
      </c>
      <c r="I27" s="21">
        <f>SUM('X-高新:X-中天鸿锂'!I27)</f>
        <v>0</v>
      </c>
      <c r="J27" s="21">
        <f>SUM('X-高新:X-中天鸿锂'!J27)</f>
        <v>0</v>
      </c>
      <c r="K27" s="21">
        <f>SUM('X-高新:X-中天鸿锂'!K27)</f>
        <v>0</v>
      </c>
      <c r="L27" s="21">
        <f>SUM('X-高新:X-中天鸿锂'!L27)</f>
        <v>0</v>
      </c>
      <c r="M27" s="21">
        <f>SUM('X-高新:X-中天鸿锂'!M27)</f>
        <v>0</v>
      </c>
      <c r="N27" s="21">
        <f>SUM('X-高新:X-中天鸿锂'!N27)</f>
        <v>0</v>
      </c>
      <c r="O27" s="21">
        <f>SUM('X-高新:X-中天鸿锂'!O27)</f>
        <v>0</v>
      </c>
      <c r="P27" s="47">
        <f t="shared" si="0"/>
        <v>113.84</v>
      </c>
      <c r="R27" s="48"/>
      <c r="S27" s="283"/>
    </row>
    <row r="28" s="5" customFormat="1" ht="17.25" customHeight="1" spans="1:19">
      <c r="A28" s="201" t="s">
        <v>94</v>
      </c>
      <c r="B28" s="19" t="s">
        <v>95</v>
      </c>
      <c r="C28" s="25" t="s">
        <v>96</v>
      </c>
      <c r="D28" s="21">
        <f>SUM('X-高新:X-中天鸿锂'!D28)</f>
        <v>528.98</v>
      </c>
      <c r="E28" s="21">
        <f>SUM('X-高新:X-中天鸿锂'!E28)</f>
        <v>0</v>
      </c>
      <c r="F28" s="21">
        <f>SUM('X-高新:X-中天鸿锂'!F28)</f>
        <v>100</v>
      </c>
      <c r="G28" s="21">
        <f>SUM('X-高新:X-中天鸿锂'!G28)</f>
        <v>0</v>
      </c>
      <c r="H28" s="21">
        <f>SUM('X-高新:X-中天鸿锂'!H28)</f>
        <v>0</v>
      </c>
      <c r="I28" s="21">
        <f>SUM('X-高新:X-中天鸿锂'!I28)</f>
        <v>0</v>
      </c>
      <c r="J28" s="21">
        <f>SUM('X-高新:X-中天鸿锂'!J28)</f>
        <v>0</v>
      </c>
      <c r="K28" s="21">
        <f>SUM('X-高新:X-中天鸿锂'!K28)</f>
        <v>0</v>
      </c>
      <c r="L28" s="21">
        <f>SUM('X-高新:X-中天鸿锂'!L28)</f>
        <v>0</v>
      </c>
      <c r="M28" s="21">
        <f>SUM('X-高新:X-中天鸿锂'!M28)</f>
        <v>0</v>
      </c>
      <c r="N28" s="21">
        <f>SUM('X-高新:X-中天鸿锂'!N28)</f>
        <v>0</v>
      </c>
      <c r="O28" s="21">
        <f>SUM('X-高新:X-中天鸿锂'!O28)</f>
        <v>0</v>
      </c>
      <c r="P28" s="47">
        <f t="shared" si="0"/>
        <v>628.98</v>
      </c>
      <c r="R28" s="48"/>
      <c r="S28" s="283"/>
    </row>
    <row r="29" s="5" customFormat="1" ht="17.25" customHeight="1" spans="1:19">
      <c r="A29" s="202"/>
      <c r="B29" s="23"/>
      <c r="C29" s="20" t="s">
        <v>97</v>
      </c>
      <c r="D29" s="21">
        <f>SUM('X-高新:X-中天鸿锂'!D29)</f>
        <v>527.44</v>
      </c>
      <c r="E29" s="21">
        <f>SUM('X-高新:X-中天鸿锂'!E29)</f>
        <v>484.6</v>
      </c>
      <c r="F29" s="21">
        <f>SUM('X-高新:X-中天鸿锂'!F29)</f>
        <v>551.67</v>
      </c>
      <c r="G29" s="21">
        <f>SUM('X-高新:X-中天鸿锂'!G29)</f>
        <v>37910.1</v>
      </c>
      <c r="H29" s="21">
        <f>SUM('X-高新:X-中天鸿锂'!H29)</f>
        <v>0</v>
      </c>
      <c r="I29" s="21">
        <f>SUM('X-高新:X-中天鸿锂'!I29)</f>
        <v>0</v>
      </c>
      <c r="J29" s="21">
        <f>SUM('X-高新:X-中天鸿锂'!J29)</f>
        <v>0</v>
      </c>
      <c r="K29" s="21">
        <f>SUM('X-高新:X-中天鸿锂'!K29)</f>
        <v>0</v>
      </c>
      <c r="L29" s="21">
        <f>SUM('X-高新:X-中天鸿锂'!L29)</f>
        <v>0</v>
      </c>
      <c r="M29" s="21">
        <f>SUM('X-高新:X-中天鸿锂'!M29)</f>
        <v>0</v>
      </c>
      <c r="N29" s="21">
        <f>SUM('X-高新:X-中天鸿锂'!N29)</f>
        <v>0</v>
      </c>
      <c r="O29" s="21">
        <f>SUM('X-高新:X-中天鸿锂'!O29)</f>
        <v>0</v>
      </c>
      <c r="P29" s="47">
        <f t="shared" si="0"/>
        <v>39473.81</v>
      </c>
      <c r="R29" s="48"/>
      <c r="S29" s="283"/>
    </row>
    <row r="30" s="5" customFormat="1" ht="17.25" customHeight="1" spans="1:19">
      <c r="A30" s="202"/>
      <c r="B30" s="26" t="s">
        <v>98</v>
      </c>
      <c r="C30" s="25" t="s">
        <v>98</v>
      </c>
      <c r="D30" s="21">
        <f>SUM('X-高新:X-中天鸿锂'!D30)</f>
        <v>49.06</v>
      </c>
      <c r="E30" s="21">
        <f>SUM('X-高新:X-中天鸿锂'!E30)</f>
        <v>0</v>
      </c>
      <c r="F30" s="21">
        <f>SUM('X-高新:X-中天鸿锂'!F30)</f>
        <v>5377.17</v>
      </c>
      <c r="G30" s="21">
        <f>SUM('X-高新:X-中天鸿锂'!G30)</f>
        <v>312</v>
      </c>
      <c r="H30" s="21">
        <f>SUM('X-高新:X-中天鸿锂'!H30)</f>
        <v>0</v>
      </c>
      <c r="I30" s="21">
        <f>SUM('X-高新:X-中天鸿锂'!I30)</f>
        <v>0</v>
      </c>
      <c r="J30" s="21">
        <f>SUM('X-高新:X-中天鸿锂'!J30)</f>
        <v>0</v>
      </c>
      <c r="K30" s="21">
        <f>SUM('X-高新:X-中天鸿锂'!K30)</f>
        <v>0</v>
      </c>
      <c r="L30" s="21">
        <f>SUM('X-高新:X-中天鸿锂'!L30)</f>
        <v>0</v>
      </c>
      <c r="M30" s="21">
        <f>SUM('X-高新:X-中天鸿锂'!M30)</f>
        <v>0</v>
      </c>
      <c r="N30" s="21">
        <f>SUM('X-高新:X-中天鸿锂'!N30)</f>
        <v>0</v>
      </c>
      <c r="O30" s="21">
        <f>SUM('X-高新:X-中天鸿锂'!O30)</f>
        <v>0</v>
      </c>
      <c r="P30" s="47">
        <f t="shared" si="0"/>
        <v>5738.23</v>
      </c>
      <c r="R30" s="48"/>
      <c r="S30" s="283"/>
    </row>
    <row r="31" s="5" customFormat="1" ht="17.25" customHeight="1" spans="1:19">
      <c r="A31" s="202"/>
      <c r="B31" s="19" t="s">
        <v>99</v>
      </c>
      <c r="C31" s="25" t="s">
        <v>100</v>
      </c>
      <c r="D31" s="21">
        <f>SUM('X-高新:X-中天鸿锂'!D31)</f>
        <v>0</v>
      </c>
      <c r="E31" s="21">
        <f>SUM('X-高新:X-中天鸿锂'!E31)</f>
        <v>0</v>
      </c>
      <c r="F31" s="21">
        <f>SUM('X-高新:X-中天鸿锂'!F31)</f>
        <v>193339.29</v>
      </c>
      <c r="G31" s="21">
        <f>SUM('X-高新:X-中天鸿锂'!G31)</f>
        <v>518778.1</v>
      </c>
      <c r="H31" s="21">
        <f>SUM('X-高新:X-中天鸿锂'!H31)</f>
        <v>0</v>
      </c>
      <c r="I31" s="21">
        <f>SUM('X-高新:X-中天鸿锂'!I31)</f>
        <v>0</v>
      </c>
      <c r="J31" s="21">
        <f>SUM('X-高新:X-中天鸿锂'!J31)</f>
        <v>0</v>
      </c>
      <c r="K31" s="21">
        <f>SUM('X-高新:X-中天鸿锂'!K31)</f>
        <v>0</v>
      </c>
      <c r="L31" s="21">
        <f>SUM('X-高新:X-中天鸿锂'!L31)</f>
        <v>0</v>
      </c>
      <c r="M31" s="21">
        <f>SUM('X-高新:X-中天鸿锂'!M31)</f>
        <v>0</v>
      </c>
      <c r="N31" s="21">
        <f>SUM('X-高新:X-中天鸿锂'!N31)</f>
        <v>0</v>
      </c>
      <c r="O31" s="21">
        <f>SUM('X-高新:X-中天鸿锂'!O31)</f>
        <v>0</v>
      </c>
      <c r="P31" s="47">
        <f t="shared" si="0"/>
        <v>712117.39</v>
      </c>
      <c r="R31" s="48"/>
      <c r="S31" s="283"/>
    </row>
    <row r="32" s="5" customFormat="1" ht="17.25" customHeight="1" spans="1:19">
      <c r="A32" s="202"/>
      <c r="B32" s="24"/>
      <c r="C32" s="25" t="s">
        <v>101</v>
      </c>
      <c r="D32" s="21">
        <f>SUM('X-高新:X-中天鸿锂'!D32)</f>
        <v>0</v>
      </c>
      <c r="E32" s="21">
        <f>SUM('X-高新:X-中天鸿锂'!E32)</f>
        <v>0</v>
      </c>
      <c r="F32" s="21">
        <f>SUM('X-高新:X-中天鸿锂'!F32)</f>
        <v>0</v>
      </c>
      <c r="G32" s="21">
        <f>SUM('X-高新:X-中天鸿锂'!G32)</f>
        <v>0</v>
      </c>
      <c r="H32" s="21">
        <f>SUM('X-高新:X-中天鸿锂'!H32)</f>
        <v>0</v>
      </c>
      <c r="I32" s="21">
        <f>SUM('X-高新:X-中天鸿锂'!I32)</f>
        <v>0</v>
      </c>
      <c r="J32" s="21">
        <f>SUM('X-高新:X-中天鸿锂'!J32)</f>
        <v>0</v>
      </c>
      <c r="K32" s="21">
        <f>SUM('X-高新:X-中天鸿锂'!K32)</f>
        <v>0</v>
      </c>
      <c r="L32" s="21">
        <f>SUM('X-高新:X-中天鸿锂'!L32)</f>
        <v>0</v>
      </c>
      <c r="M32" s="21">
        <f>SUM('X-高新:X-中天鸿锂'!M32)</f>
        <v>0</v>
      </c>
      <c r="N32" s="21">
        <f>SUM('X-高新:X-中天鸿锂'!N32)</f>
        <v>0</v>
      </c>
      <c r="O32" s="21">
        <f>SUM('X-高新:X-中天鸿锂'!O32)</f>
        <v>0</v>
      </c>
      <c r="P32" s="47">
        <f t="shared" si="0"/>
        <v>0</v>
      </c>
      <c r="R32" s="48"/>
      <c r="S32" s="283"/>
    </row>
    <row r="33" s="5" customFormat="1" ht="17.25" customHeight="1" spans="1:19">
      <c r="A33" s="202"/>
      <c r="B33" s="23"/>
      <c r="C33" s="20" t="s">
        <v>102</v>
      </c>
      <c r="D33" s="21">
        <f>SUM('X-高新:X-中天鸿锂'!D33)</f>
        <v>2234.91</v>
      </c>
      <c r="E33" s="21">
        <f>SUM('X-高新:X-中天鸿锂'!E33)</f>
        <v>126.04</v>
      </c>
      <c r="F33" s="21">
        <f>SUM('X-高新:X-中天鸿锂'!F33)</f>
        <v>2453.61</v>
      </c>
      <c r="G33" s="21">
        <f>SUM('X-高新:X-中天鸿锂'!G33)</f>
        <v>5044.7</v>
      </c>
      <c r="H33" s="21">
        <f>SUM('X-高新:X-中天鸿锂'!H33)</f>
        <v>0</v>
      </c>
      <c r="I33" s="21">
        <f>SUM('X-高新:X-中天鸿锂'!I33)</f>
        <v>0</v>
      </c>
      <c r="J33" s="21">
        <f>SUM('X-高新:X-中天鸿锂'!J33)</f>
        <v>0</v>
      </c>
      <c r="K33" s="21">
        <f>SUM('X-高新:X-中天鸿锂'!K33)</f>
        <v>0</v>
      </c>
      <c r="L33" s="21">
        <f>SUM('X-高新:X-中天鸿锂'!L33)</f>
        <v>0</v>
      </c>
      <c r="M33" s="21">
        <f>SUM('X-高新:X-中天鸿锂'!M33)</f>
        <v>0</v>
      </c>
      <c r="N33" s="21">
        <f>SUM('X-高新:X-中天鸿锂'!N33)</f>
        <v>0</v>
      </c>
      <c r="O33" s="21">
        <f>SUM('X-高新:X-中天鸿锂'!O33)</f>
        <v>0</v>
      </c>
      <c r="P33" s="47">
        <f t="shared" si="0"/>
        <v>9859.26</v>
      </c>
      <c r="R33" s="48"/>
      <c r="S33" s="283"/>
    </row>
    <row r="34" s="5" customFormat="1" ht="17.25" customHeight="1" spans="1:19">
      <c r="A34" s="202"/>
      <c r="B34" s="19" t="s">
        <v>103</v>
      </c>
      <c r="C34" s="25" t="s">
        <v>104</v>
      </c>
      <c r="D34" s="21">
        <f>SUM('X-高新:X-中天鸿锂'!D34)</f>
        <v>118823.8</v>
      </c>
      <c r="E34" s="21">
        <f>SUM('X-高新:X-中天鸿锂'!E34)</f>
        <v>20781.22</v>
      </c>
      <c r="F34" s="21">
        <f>SUM('X-高新:X-中天鸿锂'!F34)</f>
        <v>43343.26</v>
      </c>
      <c r="G34" s="21">
        <f>SUM('X-高新:X-中天鸿锂'!G34)</f>
        <v>114102.1</v>
      </c>
      <c r="H34" s="21">
        <f>SUM('X-高新:X-中天鸿锂'!H34)</f>
        <v>0</v>
      </c>
      <c r="I34" s="21">
        <f>SUM('X-高新:X-中天鸿锂'!I34)</f>
        <v>0</v>
      </c>
      <c r="J34" s="21">
        <f>SUM('X-高新:X-中天鸿锂'!J34)</f>
        <v>0</v>
      </c>
      <c r="K34" s="21">
        <f>SUM('X-高新:X-中天鸿锂'!K34)</f>
        <v>0</v>
      </c>
      <c r="L34" s="21">
        <f>SUM('X-高新:X-中天鸿锂'!L34)</f>
        <v>0</v>
      </c>
      <c r="M34" s="21">
        <f>SUM('X-高新:X-中天鸿锂'!M34)</f>
        <v>0</v>
      </c>
      <c r="N34" s="21">
        <f>SUM('X-高新:X-中天鸿锂'!N34)</f>
        <v>0</v>
      </c>
      <c r="O34" s="21">
        <f>SUM('X-高新:X-中天鸿锂'!O34)</f>
        <v>0</v>
      </c>
      <c r="P34" s="47">
        <f t="shared" si="0"/>
        <v>297050.38</v>
      </c>
      <c r="R34" s="48"/>
      <c r="S34" s="283"/>
    </row>
    <row r="35" s="5" customFormat="1" ht="17.25" customHeight="1" spans="1:19">
      <c r="A35" s="202"/>
      <c r="B35" s="23"/>
      <c r="C35" s="25" t="s">
        <v>105</v>
      </c>
      <c r="D35" s="21">
        <f>SUM('X-高新:X-中天鸿锂'!D35)</f>
        <v>0</v>
      </c>
      <c r="E35" s="21">
        <f>SUM('X-高新:X-中天鸿锂'!E35)</f>
        <v>0</v>
      </c>
      <c r="F35" s="21">
        <f>SUM('X-高新:X-中天鸿锂'!F35)</f>
        <v>0</v>
      </c>
      <c r="G35" s="21">
        <f>SUM('X-高新:X-中天鸿锂'!G35)</f>
        <v>0</v>
      </c>
      <c r="H35" s="21">
        <f>SUM('X-高新:X-中天鸿锂'!H35)</f>
        <v>0</v>
      </c>
      <c r="I35" s="21">
        <f>SUM('X-高新:X-中天鸿锂'!I35)</f>
        <v>0</v>
      </c>
      <c r="J35" s="21">
        <f>SUM('X-高新:X-中天鸿锂'!J35)</f>
        <v>0</v>
      </c>
      <c r="K35" s="21">
        <f>SUM('X-高新:X-中天鸿锂'!K35)</f>
        <v>0</v>
      </c>
      <c r="L35" s="21">
        <f>SUM('X-高新:X-中天鸿锂'!L35)</f>
        <v>0</v>
      </c>
      <c r="M35" s="21">
        <f>SUM('X-高新:X-中天鸿锂'!M35)</f>
        <v>0</v>
      </c>
      <c r="N35" s="21">
        <f>SUM('X-高新:X-中天鸿锂'!N35)</f>
        <v>0</v>
      </c>
      <c r="O35" s="21">
        <f>SUM('X-高新:X-中天鸿锂'!O35)</f>
        <v>0</v>
      </c>
      <c r="P35" s="47">
        <f t="shared" si="0"/>
        <v>0</v>
      </c>
      <c r="R35" s="48"/>
      <c r="S35" s="283"/>
    </row>
    <row r="36" s="5" customFormat="1" ht="17.25" customHeight="1" spans="1:19">
      <c r="A36" s="202"/>
      <c r="B36" s="26" t="s">
        <v>106</v>
      </c>
      <c r="C36" s="25" t="s">
        <v>106</v>
      </c>
      <c r="D36" s="21">
        <f>SUM('X-高新:X-中天鸿锂'!D36)</f>
        <v>60763.55</v>
      </c>
      <c r="E36" s="21">
        <f>SUM('X-高新:X-中天鸿锂'!E36)</f>
        <v>-17505.6</v>
      </c>
      <c r="F36" s="21">
        <f>SUM('X-高新:X-中天鸿锂'!F36)</f>
        <v>14480.55</v>
      </c>
      <c r="G36" s="21">
        <f>SUM('X-高新:X-中天鸿锂'!G36)</f>
        <v>20679.2</v>
      </c>
      <c r="H36" s="21">
        <f>SUM('X-高新:X-中天鸿锂'!H36)</f>
        <v>0</v>
      </c>
      <c r="I36" s="21">
        <f>SUM('X-高新:X-中天鸿锂'!I36)</f>
        <v>0</v>
      </c>
      <c r="J36" s="21">
        <f>SUM('X-高新:X-中天鸿锂'!J36)</f>
        <v>0</v>
      </c>
      <c r="K36" s="21">
        <f>SUM('X-高新:X-中天鸿锂'!K36)</f>
        <v>0</v>
      </c>
      <c r="L36" s="21">
        <f>SUM('X-高新:X-中天鸿锂'!L36)</f>
        <v>0</v>
      </c>
      <c r="M36" s="21">
        <f>SUM('X-高新:X-中天鸿锂'!M36)</f>
        <v>0</v>
      </c>
      <c r="N36" s="21">
        <f>SUM('X-高新:X-中天鸿锂'!N36)</f>
        <v>0</v>
      </c>
      <c r="O36" s="21">
        <f>SUM('X-高新:X-中天鸿锂'!O36)</f>
        <v>0</v>
      </c>
      <c r="P36" s="47">
        <f t="shared" si="0"/>
        <v>78417.7</v>
      </c>
      <c r="R36" s="48"/>
      <c r="S36" s="283"/>
    </row>
    <row r="37" s="5" customFormat="1" ht="17.25" customHeight="1" spans="1:19">
      <c r="A37" s="202"/>
      <c r="B37" s="26" t="s">
        <v>107</v>
      </c>
      <c r="C37" s="25" t="s">
        <v>107</v>
      </c>
      <c r="D37" s="21">
        <f>SUM('X-高新:X-中天鸿锂'!D37)</f>
        <v>677272.69</v>
      </c>
      <c r="E37" s="21">
        <f>SUM('X-高新:X-中天鸿锂'!E37)</f>
        <v>123251.68</v>
      </c>
      <c r="F37" s="21">
        <f>SUM('X-高新:X-中天鸿锂'!F37)</f>
        <v>447949.46</v>
      </c>
      <c r="G37" s="21">
        <f>SUM('X-高新:X-中天鸿锂'!G37)</f>
        <v>-24715.06</v>
      </c>
      <c r="H37" s="21">
        <f>SUM('X-高新:X-中天鸿锂'!H37)</f>
        <v>0</v>
      </c>
      <c r="I37" s="21">
        <f>SUM('X-高新:X-中天鸿锂'!I37)</f>
        <v>0</v>
      </c>
      <c r="J37" s="21">
        <f>SUM('X-高新:X-中天鸿锂'!J37)</f>
        <v>0</v>
      </c>
      <c r="K37" s="21">
        <f>SUM('X-高新:X-中天鸿锂'!K37)</f>
        <v>0</v>
      </c>
      <c r="L37" s="21">
        <f>SUM('X-高新:X-中天鸿锂'!L37)</f>
        <v>0</v>
      </c>
      <c r="M37" s="21">
        <f>SUM('X-高新:X-中天鸿锂'!M37)</f>
        <v>0</v>
      </c>
      <c r="N37" s="21">
        <f>SUM('X-高新:X-中天鸿锂'!N37)</f>
        <v>0</v>
      </c>
      <c r="O37" s="21">
        <f>SUM('X-高新:X-中天鸿锂'!O37)</f>
        <v>0</v>
      </c>
      <c r="P37" s="47">
        <f t="shared" si="0"/>
        <v>1223758.77</v>
      </c>
      <c r="R37" s="48"/>
      <c r="S37" s="283"/>
    </row>
    <row r="38" s="5" customFormat="1" ht="17.25" customHeight="1" spans="1:19">
      <c r="A38" s="202"/>
      <c r="B38" s="19" t="s">
        <v>108</v>
      </c>
      <c r="C38" s="25" t="s">
        <v>109</v>
      </c>
      <c r="D38" s="21">
        <f>SUM('X-高新:X-中天鸿锂'!D38)</f>
        <v>0</v>
      </c>
      <c r="E38" s="21">
        <f>SUM('X-高新:X-中天鸿锂'!E38)</f>
        <v>0</v>
      </c>
      <c r="F38" s="21">
        <f>SUM('X-高新:X-中天鸿锂'!F38)</f>
        <v>0</v>
      </c>
      <c r="G38" s="21">
        <f>SUM('X-高新:X-中天鸿锂'!G38)</f>
        <v>24217.61</v>
      </c>
      <c r="H38" s="21">
        <f>SUM('X-高新:X-中天鸿锂'!H38)</f>
        <v>0</v>
      </c>
      <c r="I38" s="21">
        <f>SUM('X-高新:X-中天鸿锂'!I38)</f>
        <v>0</v>
      </c>
      <c r="J38" s="21">
        <f>SUM('X-高新:X-中天鸿锂'!J38)</f>
        <v>0</v>
      </c>
      <c r="K38" s="21">
        <f>SUM('X-高新:X-中天鸿锂'!K38)</f>
        <v>0</v>
      </c>
      <c r="L38" s="21">
        <f>SUM('X-高新:X-中天鸿锂'!L38)</f>
        <v>0</v>
      </c>
      <c r="M38" s="21">
        <f>SUM('X-高新:X-中天鸿锂'!M38)</f>
        <v>0</v>
      </c>
      <c r="N38" s="21">
        <f>SUM('X-高新:X-中天鸿锂'!N38)</f>
        <v>0</v>
      </c>
      <c r="O38" s="21">
        <f>SUM('X-高新:X-中天鸿锂'!O38)</f>
        <v>0</v>
      </c>
      <c r="P38" s="47">
        <f t="shared" si="0"/>
        <v>24217.61</v>
      </c>
      <c r="R38" s="48"/>
      <c r="S38" s="283"/>
    </row>
    <row r="39" s="5" customFormat="1" ht="17.25" customHeight="1" spans="1:19">
      <c r="A39" s="202"/>
      <c r="B39" s="23"/>
      <c r="C39" s="25" t="s">
        <v>110</v>
      </c>
      <c r="D39" s="21">
        <f>SUM('X-高新:X-中天鸿锂'!D39)</f>
        <v>26307.85</v>
      </c>
      <c r="E39" s="21">
        <f>SUM('X-高新:X-中天鸿锂'!E39)</f>
        <v>6208.04</v>
      </c>
      <c r="F39" s="21">
        <f>SUM('X-高新:X-中天鸿锂'!F39)</f>
        <v>4871.19</v>
      </c>
      <c r="G39" s="21">
        <f>SUM('X-高新:X-中天鸿锂'!G39)</f>
        <v>303531.84</v>
      </c>
      <c r="H39" s="21">
        <f>SUM('X-高新:X-中天鸿锂'!H39)</f>
        <v>0</v>
      </c>
      <c r="I39" s="21">
        <f>SUM('X-高新:X-中天鸿锂'!I39)</f>
        <v>0</v>
      </c>
      <c r="J39" s="21">
        <f>SUM('X-高新:X-中天鸿锂'!J39)</f>
        <v>0</v>
      </c>
      <c r="K39" s="21">
        <f>SUM('X-高新:X-中天鸿锂'!K39)</f>
        <v>0</v>
      </c>
      <c r="L39" s="21">
        <f>SUM('X-高新:X-中天鸿锂'!L39)</f>
        <v>0</v>
      </c>
      <c r="M39" s="21">
        <f>SUM('X-高新:X-中天鸿锂'!M39)</f>
        <v>0</v>
      </c>
      <c r="N39" s="21">
        <f>SUM('X-高新:X-中天鸿锂'!N39)</f>
        <v>0</v>
      </c>
      <c r="O39" s="21">
        <f>SUM('X-高新:X-中天鸿锂'!O39)</f>
        <v>0</v>
      </c>
      <c r="P39" s="47">
        <f t="shared" si="0"/>
        <v>340918.92</v>
      </c>
      <c r="R39" s="48"/>
      <c r="S39" s="283"/>
    </row>
    <row r="40" s="5" customFormat="1" ht="17.25" customHeight="1" spans="1:19">
      <c r="A40" s="203"/>
      <c r="B40" s="26" t="s">
        <v>111</v>
      </c>
      <c r="C40" s="25" t="s">
        <v>111</v>
      </c>
      <c r="D40" s="21">
        <f>SUM('X-高新:X-中天鸿锂'!D40)</f>
        <v>0</v>
      </c>
      <c r="E40" s="21">
        <f>SUM('X-高新:X-中天鸿锂'!E40)</f>
        <v>0</v>
      </c>
      <c r="F40" s="21">
        <f>SUM('X-高新:X-中天鸿锂'!F40)</f>
        <v>0</v>
      </c>
      <c r="G40" s="21">
        <f>SUM('X-高新:X-中天鸿锂'!G40)</f>
        <v>0</v>
      </c>
      <c r="H40" s="21">
        <f>SUM('X-高新:X-中天鸿锂'!H40)</f>
        <v>0</v>
      </c>
      <c r="I40" s="21">
        <f>SUM('X-高新:X-中天鸿锂'!I40)</f>
        <v>0</v>
      </c>
      <c r="J40" s="21">
        <f>SUM('X-高新:X-中天鸿锂'!J40)</f>
        <v>0</v>
      </c>
      <c r="K40" s="21">
        <f>SUM('X-高新:X-中天鸿锂'!K40)</f>
        <v>0</v>
      </c>
      <c r="L40" s="21">
        <f>SUM('X-高新:X-中天鸿锂'!L40)</f>
        <v>0</v>
      </c>
      <c r="M40" s="21">
        <f>SUM('X-高新:X-中天鸿锂'!M40)</f>
        <v>0</v>
      </c>
      <c r="N40" s="21">
        <f>SUM('X-高新:X-中天鸿锂'!N40)</f>
        <v>0</v>
      </c>
      <c r="O40" s="21">
        <f>SUM('X-高新:X-中天鸿锂'!O40)</f>
        <v>0</v>
      </c>
      <c r="P40" s="47">
        <f t="shared" si="0"/>
        <v>0</v>
      </c>
      <c r="R40" s="48"/>
      <c r="S40" s="283"/>
    </row>
    <row r="41" s="5" customFormat="1" ht="17.25" customHeight="1" spans="1:19">
      <c r="A41" s="204" t="s">
        <v>112</v>
      </c>
      <c r="B41" s="30" t="s">
        <v>113</v>
      </c>
      <c r="C41" s="20" t="s">
        <v>113</v>
      </c>
      <c r="D41" s="21">
        <f>SUM('X-高新:X-中天鸿锂'!D41)</f>
        <v>1768355.87</v>
      </c>
      <c r="E41" s="21">
        <f>SUM('X-高新:X-中天鸿锂'!E41)</f>
        <v>-1764307.38</v>
      </c>
      <c r="F41" s="21">
        <f>SUM('X-高新:X-中天鸿锂'!F41)</f>
        <v>48140.91</v>
      </c>
      <c r="G41" s="21">
        <f>SUM('X-高新:X-中天鸿锂'!G41)</f>
        <v>173361.48</v>
      </c>
      <c r="H41" s="21">
        <f>SUM('X-高新:X-中天鸿锂'!H41)</f>
        <v>0</v>
      </c>
      <c r="I41" s="21">
        <f>SUM('X-高新:X-中天鸿锂'!I41)</f>
        <v>0</v>
      </c>
      <c r="J41" s="21">
        <f>SUM('X-高新:X-中天鸿锂'!J41)</f>
        <v>0</v>
      </c>
      <c r="K41" s="21">
        <f>SUM('X-高新:X-中天鸿锂'!K41)</f>
        <v>0</v>
      </c>
      <c r="L41" s="21">
        <f>SUM('X-高新:X-中天鸿锂'!L41)</f>
        <v>0</v>
      </c>
      <c r="M41" s="21">
        <f>SUM('X-高新:X-中天鸿锂'!M41)</f>
        <v>0</v>
      </c>
      <c r="N41" s="21">
        <f>SUM('X-高新:X-中天鸿锂'!N41)</f>
        <v>0</v>
      </c>
      <c r="O41" s="21">
        <f>SUM('X-高新:X-中天鸿锂'!O41)</f>
        <v>0</v>
      </c>
      <c r="P41" s="47">
        <f t="shared" si="0"/>
        <v>225550.88</v>
      </c>
      <c r="R41" s="48"/>
      <c r="S41" s="283"/>
    </row>
    <row r="42" s="5" customFormat="1" ht="17.25" customHeight="1" spans="1:19">
      <c r="A42" s="205"/>
      <c r="B42" s="19" t="s">
        <v>114</v>
      </c>
      <c r="C42" s="206" t="s">
        <v>114</v>
      </c>
      <c r="D42" s="21">
        <f>SUM('X-高新:X-中天鸿锂'!D42)</f>
        <v>3033.17</v>
      </c>
      <c r="E42" s="21">
        <f>SUM('X-高新:X-中天鸿锂'!E42)</f>
        <v>328512.47</v>
      </c>
      <c r="F42" s="21">
        <f>SUM('X-高新:X-中天鸿锂'!F42)</f>
        <v>409570.59</v>
      </c>
      <c r="G42" s="21">
        <f>SUM('X-高新:X-中天鸿锂'!G42)</f>
        <v>313209</v>
      </c>
      <c r="H42" s="21">
        <f>SUM('X-高新:X-中天鸿锂'!H42)</f>
        <v>0</v>
      </c>
      <c r="I42" s="21">
        <f>SUM('X-高新:X-中天鸿锂'!I42)</f>
        <v>0</v>
      </c>
      <c r="J42" s="21">
        <f>SUM('X-高新:X-中天鸿锂'!J42)</f>
        <v>0</v>
      </c>
      <c r="K42" s="21">
        <f>SUM('X-高新:X-中天鸿锂'!K42)</f>
        <v>0</v>
      </c>
      <c r="L42" s="21">
        <f>SUM('X-高新:X-中天鸿锂'!L42)</f>
        <v>0</v>
      </c>
      <c r="M42" s="21">
        <f>SUM('X-高新:X-中天鸿锂'!M42)</f>
        <v>0</v>
      </c>
      <c r="N42" s="21">
        <f>SUM('X-高新:X-中天鸿锂'!N42)</f>
        <v>0</v>
      </c>
      <c r="O42" s="21">
        <f>SUM('X-高新:X-中天鸿锂'!O42)</f>
        <v>0</v>
      </c>
      <c r="P42" s="47">
        <f t="shared" si="0"/>
        <v>1054325.23</v>
      </c>
      <c r="R42" s="48"/>
      <c r="S42" s="283"/>
    </row>
    <row r="43" s="5" customFormat="1" ht="17.25" customHeight="1" spans="1:19">
      <c r="A43" s="205"/>
      <c r="B43" s="19" t="s">
        <v>115</v>
      </c>
      <c r="C43" s="206" t="s">
        <v>115</v>
      </c>
      <c r="D43" s="21">
        <f>SUM('X-高新:X-中天鸿锂'!D43)</f>
        <v>106796.12</v>
      </c>
      <c r="E43" s="21">
        <f>SUM('X-高新:X-中天鸿锂'!E43)</f>
        <v>0</v>
      </c>
      <c r="F43" s="21">
        <f>SUM('X-高新:X-中天鸿锂'!F43)</f>
        <v>0</v>
      </c>
      <c r="G43" s="21">
        <f>SUM('X-高新:X-中天鸿锂'!G43)</f>
        <v>1886.79</v>
      </c>
      <c r="H43" s="21">
        <f>SUM('X-高新:X-中天鸿锂'!H43)</f>
        <v>0</v>
      </c>
      <c r="I43" s="21">
        <f>SUM('X-高新:X-中天鸿锂'!I43)</f>
        <v>0</v>
      </c>
      <c r="J43" s="21">
        <f>SUM('X-高新:X-中天鸿锂'!J43)</f>
        <v>0</v>
      </c>
      <c r="K43" s="21">
        <f>SUM('X-高新:X-中天鸿锂'!K43)</f>
        <v>0</v>
      </c>
      <c r="L43" s="21">
        <f>SUM('X-高新:X-中天鸿锂'!L43)</f>
        <v>0</v>
      </c>
      <c r="M43" s="21">
        <f>SUM('X-高新:X-中天鸿锂'!M43)</f>
        <v>0</v>
      </c>
      <c r="N43" s="21">
        <f>SUM('X-高新:X-中天鸿锂'!N43)</f>
        <v>0</v>
      </c>
      <c r="O43" s="21">
        <f>SUM('X-高新:X-中天鸿锂'!O43)</f>
        <v>0</v>
      </c>
      <c r="P43" s="47">
        <f t="shared" si="0"/>
        <v>108682.91</v>
      </c>
      <c r="R43" s="48"/>
      <c r="S43" s="283"/>
    </row>
    <row r="44" s="5" customFormat="1" ht="17.25" customHeight="1" spans="1:19">
      <c r="A44" s="205"/>
      <c r="B44" s="19" t="s">
        <v>116</v>
      </c>
      <c r="C44" s="206" t="s">
        <v>117</v>
      </c>
      <c r="D44" s="21">
        <f>SUM('X-高新:X-中天鸿锂'!D44)</f>
        <v>-921.39</v>
      </c>
      <c r="E44" s="21">
        <f>SUM('X-高新:X-中天鸿锂'!E44)</f>
        <v>0</v>
      </c>
      <c r="F44" s="21">
        <f>SUM('X-高新:X-中天鸿锂'!F44)</f>
        <v>0</v>
      </c>
      <c r="G44" s="21">
        <f>SUM('X-高新:X-中天鸿锂'!G44)</f>
        <v>-74068.72</v>
      </c>
      <c r="H44" s="21">
        <f>SUM('X-高新:X-中天鸿锂'!H44)</f>
        <v>0</v>
      </c>
      <c r="I44" s="21">
        <f>SUM('X-高新:X-中天鸿锂'!I44)</f>
        <v>0</v>
      </c>
      <c r="J44" s="21">
        <f>SUM('X-高新:X-中天鸿锂'!J44)</f>
        <v>0</v>
      </c>
      <c r="K44" s="21">
        <f>SUM('X-高新:X-中天鸿锂'!K44)</f>
        <v>0</v>
      </c>
      <c r="L44" s="21">
        <f>SUM('X-高新:X-中天鸿锂'!L44)</f>
        <v>0</v>
      </c>
      <c r="M44" s="21">
        <f>SUM('X-高新:X-中天鸿锂'!M44)</f>
        <v>0</v>
      </c>
      <c r="N44" s="21">
        <f>SUM('X-高新:X-中天鸿锂'!N44)</f>
        <v>0</v>
      </c>
      <c r="O44" s="21">
        <f>SUM('X-高新:X-中天鸿锂'!O44)</f>
        <v>0</v>
      </c>
      <c r="P44" s="47">
        <f t="shared" si="0"/>
        <v>-74990.11</v>
      </c>
      <c r="R44" s="48"/>
      <c r="S44" s="283"/>
    </row>
    <row r="45" s="5" customFormat="1" ht="17.25" customHeight="1" spans="1:19">
      <c r="A45" s="205"/>
      <c r="B45" s="23"/>
      <c r="C45" s="206" t="s">
        <v>118</v>
      </c>
      <c r="D45" s="21">
        <f>SUM('X-高新:X-中天鸿锂'!D45)</f>
        <v>0</v>
      </c>
      <c r="E45" s="21">
        <f>SUM('X-高新:X-中天鸿锂'!E45)</f>
        <v>13790.67</v>
      </c>
      <c r="F45" s="21">
        <f>SUM('X-高新:X-中天鸿锂'!F45)</f>
        <v>8305.16</v>
      </c>
      <c r="G45" s="21">
        <f>SUM('X-高新:X-中天鸿锂'!G45)</f>
        <v>18782.91</v>
      </c>
      <c r="H45" s="21">
        <f>SUM('X-高新:X-中天鸿锂'!H45)</f>
        <v>0</v>
      </c>
      <c r="I45" s="21">
        <f>SUM('X-高新:X-中天鸿锂'!I45)</f>
        <v>0</v>
      </c>
      <c r="J45" s="21">
        <f>SUM('X-高新:X-中天鸿锂'!J45)</f>
        <v>0</v>
      </c>
      <c r="K45" s="21">
        <f>SUM('X-高新:X-中天鸿锂'!K45)</f>
        <v>0</v>
      </c>
      <c r="L45" s="21">
        <f>SUM('X-高新:X-中天鸿锂'!L45)</f>
        <v>0</v>
      </c>
      <c r="M45" s="21">
        <f>SUM('X-高新:X-中天鸿锂'!M45)</f>
        <v>0</v>
      </c>
      <c r="N45" s="21">
        <f>SUM('X-高新:X-中天鸿锂'!N45)</f>
        <v>0</v>
      </c>
      <c r="O45" s="21">
        <f>SUM('X-高新:X-中天鸿锂'!O45)</f>
        <v>0</v>
      </c>
      <c r="P45" s="47">
        <f t="shared" si="0"/>
        <v>40878.74</v>
      </c>
      <c r="R45" s="48"/>
      <c r="S45" s="283"/>
    </row>
    <row r="46" s="5" customFormat="1" ht="17.25" customHeight="1" spans="1:19">
      <c r="A46" s="205"/>
      <c r="B46" s="26" t="s">
        <v>119</v>
      </c>
      <c r="C46" s="207" t="s">
        <v>119</v>
      </c>
      <c r="D46" s="21">
        <f>SUM('X-高新:X-中天鸿锂'!D46)</f>
        <v>30125.37</v>
      </c>
      <c r="E46" s="21">
        <f>SUM('X-高新:X-中天鸿锂'!E46)</f>
        <v>36890.02</v>
      </c>
      <c r="F46" s="21">
        <f>SUM('X-高新:X-中天鸿锂'!F46)</f>
        <v>51295.08</v>
      </c>
      <c r="G46" s="21">
        <f>SUM('X-高新:X-中天鸿锂'!G46)</f>
        <v>51085.13</v>
      </c>
      <c r="H46" s="21">
        <f>SUM('X-高新:X-中天鸿锂'!H46)</f>
        <v>0</v>
      </c>
      <c r="I46" s="21">
        <f>SUM('X-高新:X-中天鸿锂'!I46)</f>
        <v>0</v>
      </c>
      <c r="J46" s="21">
        <f>SUM('X-高新:X-中天鸿锂'!J46)</f>
        <v>0</v>
      </c>
      <c r="K46" s="21">
        <f>SUM('X-高新:X-中天鸿锂'!K46)</f>
        <v>0</v>
      </c>
      <c r="L46" s="21">
        <f>SUM('X-高新:X-中天鸿锂'!L46)</f>
        <v>0</v>
      </c>
      <c r="M46" s="21">
        <f>SUM('X-高新:X-中天鸿锂'!M46)</f>
        <v>0</v>
      </c>
      <c r="N46" s="21">
        <f>SUM('X-高新:X-中天鸿锂'!N46)</f>
        <v>0</v>
      </c>
      <c r="O46" s="21">
        <f>SUM('X-高新:X-中天鸿锂'!O46)</f>
        <v>0</v>
      </c>
      <c r="P46" s="47">
        <f t="shared" si="0"/>
        <v>169395.6</v>
      </c>
      <c r="R46" s="48"/>
      <c r="S46" s="283"/>
    </row>
    <row r="47" s="5" customFormat="1" ht="17.25" customHeight="1" spans="1:19">
      <c r="A47" s="205"/>
      <c r="B47" s="26" t="s">
        <v>120</v>
      </c>
      <c r="C47" s="207" t="s">
        <v>120</v>
      </c>
      <c r="D47" s="21">
        <f>SUM('X-高新:X-中天鸿锂'!D47)</f>
        <v>0</v>
      </c>
      <c r="E47" s="21">
        <f>SUM('X-高新:X-中天鸿锂'!E47)</f>
        <v>0</v>
      </c>
      <c r="F47" s="21">
        <f>SUM('X-高新:X-中天鸿锂'!F47)</f>
        <v>0</v>
      </c>
      <c r="G47" s="21">
        <f>SUM('X-高新:X-中天鸿锂'!G47)</f>
        <v>0</v>
      </c>
      <c r="H47" s="21">
        <f>SUM('X-高新:X-中天鸿锂'!H47)</f>
        <v>0</v>
      </c>
      <c r="I47" s="21">
        <f>SUM('X-高新:X-中天鸿锂'!I47)</f>
        <v>0</v>
      </c>
      <c r="J47" s="21">
        <f>SUM('X-高新:X-中天鸿锂'!J47)</f>
        <v>0</v>
      </c>
      <c r="K47" s="21">
        <f>SUM('X-高新:X-中天鸿锂'!K47)</f>
        <v>0</v>
      </c>
      <c r="L47" s="21">
        <f>SUM('X-高新:X-中天鸿锂'!L47)</f>
        <v>0</v>
      </c>
      <c r="M47" s="21">
        <f>SUM('X-高新:X-中天鸿锂'!M47)</f>
        <v>0</v>
      </c>
      <c r="N47" s="21">
        <f>SUM('X-高新:X-中天鸿锂'!N47)</f>
        <v>0</v>
      </c>
      <c r="O47" s="21">
        <f>SUM('X-高新:X-中天鸿锂'!O47)</f>
        <v>0</v>
      </c>
      <c r="P47" s="47">
        <f t="shared" si="0"/>
        <v>0</v>
      </c>
      <c r="R47" s="48"/>
      <c r="S47" s="283"/>
    </row>
    <row r="48" s="189" customFormat="1" ht="17.25" customHeight="1" spans="1:19">
      <c r="A48" s="208"/>
      <c r="B48" s="34" t="s">
        <v>121</v>
      </c>
      <c r="C48" s="209" t="s">
        <v>121</v>
      </c>
      <c r="D48" s="21">
        <f>SUM('X-高新:X-中天鸿锂'!D48)</f>
        <v>85585.61</v>
      </c>
      <c r="E48" s="21">
        <f>SUM('X-高新:X-中天鸿锂'!E48)</f>
        <v>-3822.4</v>
      </c>
      <c r="F48" s="21">
        <f>SUM('X-高新:X-中天鸿锂'!F48)</f>
        <v>-7665.55</v>
      </c>
      <c r="G48" s="21">
        <f>SUM('X-高新:X-中天鸿锂'!G48)</f>
        <v>204724.03</v>
      </c>
      <c r="H48" s="21">
        <f>SUM('X-高新:X-中天鸿锂'!H48)</f>
        <v>0</v>
      </c>
      <c r="I48" s="21">
        <f>SUM('X-高新:X-中天鸿锂'!I48)</f>
        <v>0</v>
      </c>
      <c r="J48" s="21">
        <f>SUM('X-高新:X-中天鸿锂'!J48)</f>
        <v>0</v>
      </c>
      <c r="K48" s="21">
        <f>SUM('X-高新:X-中天鸿锂'!K48)</f>
        <v>0</v>
      </c>
      <c r="L48" s="21">
        <f>SUM('X-高新:X-中天鸿锂'!L48)</f>
        <v>0</v>
      </c>
      <c r="M48" s="21">
        <f>SUM('X-高新:X-中天鸿锂'!M48)</f>
        <v>0</v>
      </c>
      <c r="N48" s="21">
        <f>SUM('X-高新:X-中天鸿锂'!N48)</f>
        <v>0</v>
      </c>
      <c r="O48" s="21">
        <f>SUM('X-高新:X-中天鸿锂'!O48)</f>
        <v>0</v>
      </c>
      <c r="P48" s="47">
        <f t="shared" si="0"/>
        <v>278821.69</v>
      </c>
      <c r="R48" s="48"/>
      <c r="S48" s="283"/>
    </row>
    <row r="49" s="5" customFormat="1" ht="17.25" customHeight="1" spans="1:19">
      <c r="A49" s="210" t="s">
        <v>122</v>
      </c>
      <c r="B49" s="37" t="s">
        <v>123</v>
      </c>
      <c r="C49" s="207" t="s">
        <v>124</v>
      </c>
      <c r="D49" s="21">
        <f>SUM('X-高新:X-中天鸿锂'!D49)</f>
        <v>0</v>
      </c>
      <c r="E49" s="21">
        <f>SUM('X-高新:X-中天鸿锂'!E49)</f>
        <v>0</v>
      </c>
      <c r="F49" s="21">
        <f>SUM('X-高新:X-中天鸿锂'!F49)</f>
        <v>0</v>
      </c>
      <c r="G49" s="21">
        <f>SUM('X-高新:X-中天鸿锂'!G49)</f>
        <v>48037.06</v>
      </c>
      <c r="H49" s="21">
        <f>SUM('X-高新:X-中天鸿锂'!H49)</f>
        <v>0</v>
      </c>
      <c r="I49" s="21">
        <f>SUM('X-高新:X-中天鸿锂'!I49)</f>
        <v>0</v>
      </c>
      <c r="J49" s="21">
        <f>SUM('X-高新:X-中天鸿锂'!J49)</f>
        <v>0</v>
      </c>
      <c r="K49" s="21">
        <f>SUM('X-高新:X-中天鸿锂'!K49)</f>
        <v>0</v>
      </c>
      <c r="L49" s="21">
        <f>SUM('X-高新:X-中天鸿锂'!L49)</f>
        <v>0</v>
      </c>
      <c r="M49" s="21">
        <f>SUM('X-高新:X-中天鸿锂'!M49)</f>
        <v>0</v>
      </c>
      <c r="N49" s="21">
        <f>SUM('X-高新:X-中天鸿锂'!N49)</f>
        <v>0</v>
      </c>
      <c r="O49" s="21">
        <f>SUM('X-高新:X-中天鸿锂'!O49)</f>
        <v>0</v>
      </c>
      <c r="P49" s="47">
        <f t="shared" si="0"/>
        <v>48037.06</v>
      </c>
      <c r="R49" s="48"/>
      <c r="S49" s="283"/>
    </row>
    <row r="50" s="5" customFormat="1" ht="17.25" customHeight="1" spans="1:19">
      <c r="A50" s="211"/>
      <c r="B50" s="38"/>
      <c r="C50" s="207" t="s">
        <v>125</v>
      </c>
      <c r="D50" s="21">
        <f>SUM('X-高新:X-中天鸿锂'!D50)</f>
        <v>0</v>
      </c>
      <c r="E50" s="21">
        <f>SUM('X-高新:X-中天鸿锂'!E50)</f>
        <v>87410.68</v>
      </c>
      <c r="F50" s="21">
        <f>SUM('X-高新:X-中天鸿锂'!F50)</f>
        <v>-87410.68</v>
      </c>
      <c r="G50" s="21">
        <f>SUM('X-高新:X-中天鸿锂'!G50)</f>
        <v>0</v>
      </c>
      <c r="H50" s="21">
        <f>SUM('X-高新:X-中天鸿锂'!H50)</f>
        <v>0</v>
      </c>
      <c r="I50" s="21">
        <f>SUM('X-高新:X-中天鸿锂'!I50)</f>
        <v>0</v>
      </c>
      <c r="J50" s="21">
        <f>SUM('X-高新:X-中天鸿锂'!J50)</f>
        <v>0</v>
      </c>
      <c r="K50" s="21">
        <f>SUM('X-高新:X-中天鸿锂'!K50)</f>
        <v>0</v>
      </c>
      <c r="L50" s="21">
        <f>SUM('X-高新:X-中天鸿锂'!L50)</f>
        <v>0</v>
      </c>
      <c r="M50" s="21">
        <f>SUM('X-高新:X-中天鸿锂'!M50)</f>
        <v>0</v>
      </c>
      <c r="N50" s="21">
        <f>SUM('X-高新:X-中天鸿锂'!N50)</f>
        <v>0</v>
      </c>
      <c r="O50" s="21">
        <f>SUM('X-高新:X-中天鸿锂'!O50)</f>
        <v>0</v>
      </c>
      <c r="P50" s="47">
        <f t="shared" si="0"/>
        <v>0</v>
      </c>
      <c r="R50" s="48"/>
      <c r="S50" s="283"/>
    </row>
    <row r="51" s="5" customFormat="1" ht="17.25" customHeight="1" spans="1:19">
      <c r="A51" s="211"/>
      <c r="B51" s="39"/>
      <c r="C51" s="207" t="s">
        <v>83</v>
      </c>
      <c r="D51" s="21">
        <f>SUM('X-高新:X-中天鸿锂'!D51)</f>
        <v>0</v>
      </c>
      <c r="E51" s="21">
        <f>SUM('X-高新:X-中天鸿锂'!E51)</f>
        <v>0</v>
      </c>
      <c r="F51" s="21">
        <f>SUM('X-高新:X-中天鸿锂'!F51)</f>
        <v>0</v>
      </c>
      <c r="G51" s="21">
        <f>SUM('X-高新:X-中天鸿锂'!G51)</f>
        <v>0</v>
      </c>
      <c r="H51" s="21">
        <f>SUM('X-高新:X-中天鸿锂'!H51)</f>
        <v>0</v>
      </c>
      <c r="I51" s="21">
        <f>SUM('X-高新:X-中天鸿锂'!I51)</f>
        <v>0</v>
      </c>
      <c r="J51" s="21">
        <f>SUM('X-高新:X-中天鸿锂'!J51)</f>
        <v>0</v>
      </c>
      <c r="K51" s="21">
        <f>SUM('X-高新:X-中天鸿锂'!K51)</f>
        <v>0</v>
      </c>
      <c r="L51" s="21">
        <f>SUM('X-高新:X-中天鸿锂'!L51)</f>
        <v>0</v>
      </c>
      <c r="M51" s="21">
        <f>SUM('X-高新:X-中天鸿锂'!M51)</f>
        <v>0</v>
      </c>
      <c r="N51" s="21">
        <f>SUM('X-高新:X-中天鸿锂'!N51)</f>
        <v>0</v>
      </c>
      <c r="O51" s="21">
        <f>SUM('X-高新:X-中天鸿锂'!O51)</f>
        <v>0</v>
      </c>
      <c r="P51" s="47">
        <f t="shared" si="0"/>
        <v>0</v>
      </c>
      <c r="R51" s="48"/>
      <c r="S51" s="283"/>
    </row>
    <row r="52" s="5" customFormat="1" ht="17.25" customHeight="1" spans="1:19">
      <c r="A52" s="211"/>
      <c r="B52" s="19" t="s">
        <v>126</v>
      </c>
      <c r="C52" s="207" t="s">
        <v>127</v>
      </c>
      <c r="D52" s="21">
        <f>SUM('X-高新:X-中天鸿锂'!D52)</f>
        <v>4554.38</v>
      </c>
      <c r="E52" s="21">
        <f>SUM('X-高新:X-中天鸿锂'!E52)</f>
        <v>8774.88</v>
      </c>
      <c r="F52" s="21">
        <f>SUM('X-高新:X-中天鸿锂'!F52)</f>
        <v>186846.11</v>
      </c>
      <c r="G52" s="21">
        <f>SUM('X-高新:X-中天鸿锂'!G52)</f>
        <v>0</v>
      </c>
      <c r="H52" s="21">
        <f>SUM('X-高新:X-中天鸿锂'!H52)</f>
        <v>0</v>
      </c>
      <c r="I52" s="21">
        <f>SUM('X-高新:X-中天鸿锂'!I52)</f>
        <v>0</v>
      </c>
      <c r="J52" s="21">
        <f>SUM('X-高新:X-中天鸿锂'!J52)</f>
        <v>0</v>
      </c>
      <c r="K52" s="21">
        <f>SUM('X-高新:X-中天鸿锂'!K52)</f>
        <v>0</v>
      </c>
      <c r="L52" s="21">
        <f>SUM('X-高新:X-中天鸿锂'!L52)</f>
        <v>0</v>
      </c>
      <c r="M52" s="21">
        <f>SUM('X-高新:X-中天鸿锂'!M52)</f>
        <v>0</v>
      </c>
      <c r="N52" s="21">
        <f>SUM('X-高新:X-中天鸿锂'!N52)</f>
        <v>0</v>
      </c>
      <c r="O52" s="21">
        <f>SUM('X-高新:X-中天鸿锂'!O52)</f>
        <v>0</v>
      </c>
      <c r="P52" s="47">
        <f t="shared" si="0"/>
        <v>200175.37</v>
      </c>
      <c r="R52" s="48"/>
      <c r="S52" s="283"/>
    </row>
    <row r="53" s="5" customFormat="1" ht="17.25" customHeight="1" spans="1:19">
      <c r="A53" s="211"/>
      <c r="B53" s="24"/>
      <c r="C53" s="207" t="s">
        <v>128</v>
      </c>
      <c r="D53" s="21">
        <f>SUM('X-高新:X-中天鸿锂'!D53)</f>
        <v>31716.98</v>
      </c>
      <c r="E53" s="21">
        <f>SUM('X-高新:X-中天鸿锂'!E53)</f>
        <v>-36620</v>
      </c>
      <c r="F53" s="21">
        <f>SUM('X-高新:X-中天鸿锂'!F53)</f>
        <v>0</v>
      </c>
      <c r="G53" s="21">
        <f>SUM('X-高新:X-中天鸿锂'!G53)</f>
        <v>5124.93</v>
      </c>
      <c r="H53" s="21">
        <f>SUM('X-高新:X-中天鸿锂'!H53)</f>
        <v>0</v>
      </c>
      <c r="I53" s="21">
        <f>SUM('X-高新:X-中天鸿锂'!I53)</f>
        <v>0</v>
      </c>
      <c r="J53" s="21">
        <f>SUM('X-高新:X-中天鸿锂'!J53)</f>
        <v>0</v>
      </c>
      <c r="K53" s="21">
        <f>SUM('X-高新:X-中天鸿锂'!K53)</f>
        <v>0</v>
      </c>
      <c r="L53" s="21">
        <f>SUM('X-高新:X-中天鸿锂'!L53)</f>
        <v>0</v>
      </c>
      <c r="M53" s="21">
        <f>SUM('X-高新:X-中天鸿锂'!M53)</f>
        <v>0</v>
      </c>
      <c r="N53" s="21">
        <f>SUM('X-高新:X-中天鸿锂'!N53)</f>
        <v>0</v>
      </c>
      <c r="O53" s="21">
        <f>SUM('X-高新:X-中天鸿锂'!O53)</f>
        <v>0</v>
      </c>
      <c r="P53" s="47">
        <f t="shared" si="0"/>
        <v>221.910000000003</v>
      </c>
      <c r="R53" s="48"/>
      <c r="S53" s="283"/>
    </row>
    <row r="54" s="5" customFormat="1" ht="17.25" customHeight="1" spans="1:19">
      <c r="A54" s="211"/>
      <c r="B54" s="23"/>
      <c r="C54" s="207" t="s">
        <v>83</v>
      </c>
      <c r="D54" s="21">
        <f>SUM('X-高新:X-中天鸿锂'!D54)</f>
        <v>0</v>
      </c>
      <c r="E54" s="21">
        <f>SUM('X-高新:X-中天鸿锂'!E54)</f>
        <v>0</v>
      </c>
      <c r="F54" s="21">
        <f>SUM('X-高新:X-中天鸿锂'!F54)</f>
        <v>0</v>
      </c>
      <c r="G54" s="21">
        <f>SUM('X-高新:X-中天鸿锂'!G54)</f>
        <v>0</v>
      </c>
      <c r="H54" s="21">
        <f>SUM('X-高新:X-中天鸿锂'!H54)</f>
        <v>0</v>
      </c>
      <c r="I54" s="21">
        <f>SUM('X-高新:X-中天鸿锂'!I54)</f>
        <v>0</v>
      </c>
      <c r="J54" s="21">
        <f>SUM('X-高新:X-中天鸿锂'!J54)</f>
        <v>0</v>
      </c>
      <c r="K54" s="21">
        <f>SUM('X-高新:X-中天鸿锂'!K54)</f>
        <v>0</v>
      </c>
      <c r="L54" s="21">
        <f>SUM('X-高新:X-中天鸿锂'!L54)</f>
        <v>0</v>
      </c>
      <c r="M54" s="21">
        <f>SUM('X-高新:X-中天鸿锂'!M54)</f>
        <v>0</v>
      </c>
      <c r="N54" s="21">
        <f>SUM('X-高新:X-中天鸿锂'!N54)</f>
        <v>0</v>
      </c>
      <c r="O54" s="21">
        <f>SUM('X-高新:X-中天鸿锂'!O54)</f>
        <v>0</v>
      </c>
      <c r="P54" s="47">
        <f t="shared" si="0"/>
        <v>0</v>
      </c>
      <c r="R54" s="48"/>
      <c r="S54" s="283"/>
    </row>
    <row r="55" s="5" customFormat="1" ht="17.25" customHeight="1" spans="1:19">
      <c r="A55" s="211"/>
      <c r="B55" s="40" t="s">
        <v>129</v>
      </c>
      <c r="C55" s="207" t="s">
        <v>129</v>
      </c>
      <c r="D55" s="21">
        <f>SUM('X-高新:X-中天鸿锂'!D55)</f>
        <v>0</v>
      </c>
      <c r="E55" s="21">
        <f>SUM('X-高新:X-中天鸿锂'!E55)</f>
        <v>0</v>
      </c>
      <c r="F55" s="21">
        <f>SUM('X-高新:X-中天鸿锂'!F55)</f>
        <v>0</v>
      </c>
      <c r="G55" s="21">
        <f>SUM('X-高新:X-中天鸿锂'!G55)</f>
        <v>0</v>
      </c>
      <c r="H55" s="21">
        <f>SUM('X-高新:X-中天鸿锂'!H55)</f>
        <v>0</v>
      </c>
      <c r="I55" s="21">
        <f>SUM('X-高新:X-中天鸿锂'!I55)</f>
        <v>0</v>
      </c>
      <c r="J55" s="21">
        <f>SUM('X-高新:X-中天鸿锂'!J55)</f>
        <v>0</v>
      </c>
      <c r="K55" s="21">
        <f>SUM('X-高新:X-中天鸿锂'!K55)</f>
        <v>0</v>
      </c>
      <c r="L55" s="21">
        <f>SUM('X-高新:X-中天鸿锂'!L55)</f>
        <v>0</v>
      </c>
      <c r="M55" s="21">
        <f>SUM('X-高新:X-中天鸿锂'!M55)</f>
        <v>0</v>
      </c>
      <c r="N55" s="21">
        <f>SUM('X-高新:X-中天鸿锂'!N55)</f>
        <v>0</v>
      </c>
      <c r="O55" s="21">
        <f>SUM('X-高新:X-中天鸿锂'!O55)</f>
        <v>0</v>
      </c>
      <c r="P55" s="47">
        <f t="shared" si="0"/>
        <v>0</v>
      </c>
      <c r="R55" s="48"/>
      <c r="S55" s="283"/>
    </row>
    <row r="56" s="5" customFormat="1" ht="17.25" customHeight="1" spans="1:19">
      <c r="A56" s="212"/>
      <c r="B56" s="40" t="s">
        <v>130</v>
      </c>
      <c r="C56" s="207" t="s">
        <v>130</v>
      </c>
      <c r="D56" s="21">
        <f>SUM('X-高新:X-中天鸿锂'!D56)</f>
        <v>0</v>
      </c>
      <c r="E56" s="21">
        <f>SUM('X-高新:X-中天鸿锂'!E56)</f>
        <v>0</v>
      </c>
      <c r="F56" s="21">
        <f>SUM('X-高新:X-中天鸿锂'!F56)</f>
        <v>0</v>
      </c>
      <c r="G56" s="21">
        <f>SUM('X-高新:X-中天鸿锂'!G56)</f>
        <v>0</v>
      </c>
      <c r="H56" s="21">
        <f>SUM('X-高新:X-中天鸿锂'!H56)</f>
        <v>0</v>
      </c>
      <c r="I56" s="21">
        <f>SUM('X-高新:X-中天鸿锂'!I56)</f>
        <v>0</v>
      </c>
      <c r="J56" s="21">
        <f>SUM('X-高新:X-中天鸿锂'!J56)</f>
        <v>0</v>
      </c>
      <c r="K56" s="21">
        <f>SUM('X-高新:X-中天鸿锂'!K56)</f>
        <v>0</v>
      </c>
      <c r="L56" s="21">
        <f>SUM('X-高新:X-中天鸿锂'!L56)</f>
        <v>0</v>
      </c>
      <c r="M56" s="21">
        <f>SUM('X-高新:X-中天鸿锂'!M56)</f>
        <v>0</v>
      </c>
      <c r="N56" s="21">
        <f>SUM('X-高新:X-中天鸿锂'!N56)</f>
        <v>0</v>
      </c>
      <c r="O56" s="21">
        <f>SUM('X-高新:X-中天鸿锂'!O56)</f>
        <v>0</v>
      </c>
      <c r="P56" s="47">
        <f t="shared" si="0"/>
        <v>0</v>
      </c>
      <c r="R56" s="48"/>
      <c r="S56" s="283"/>
    </row>
    <row r="57" s="5" customFormat="1" ht="17.25" customHeight="1" spans="1:19">
      <c r="A57" s="213" t="s">
        <v>131</v>
      </c>
      <c r="B57" s="26" t="s">
        <v>132</v>
      </c>
      <c r="C57" s="207" t="s">
        <v>132</v>
      </c>
      <c r="D57" s="21">
        <f>SUM('X-高新:X-中天鸿锂'!D57)</f>
        <v>0</v>
      </c>
      <c r="E57" s="21">
        <f>SUM('X-高新:X-中天鸿锂'!E57)</f>
        <v>0</v>
      </c>
      <c r="F57" s="21">
        <f>SUM('X-高新:X-中天鸿锂'!F57)</f>
        <v>0</v>
      </c>
      <c r="G57" s="21">
        <f>SUM('X-高新:X-中天鸿锂'!G57)</f>
        <v>0</v>
      </c>
      <c r="H57" s="21">
        <f>SUM('X-高新:X-中天鸿锂'!H57)</f>
        <v>0</v>
      </c>
      <c r="I57" s="21">
        <f>SUM('X-高新:X-中天鸿锂'!I57)</f>
        <v>0</v>
      </c>
      <c r="J57" s="21">
        <f>SUM('X-高新:X-中天鸿锂'!J57)</f>
        <v>0</v>
      </c>
      <c r="K57" s="21">
        <f>SUM('X-高新:X-中天鸿锂'!K57)</f>
        <v>0</v>
      </c>
      <c r="L57" s="21">
        <f>SUM('X-高新:X-中天鸿锂'!L57)</f>
        <v>0</v>
      </c>
      <c r="M57" s="21">
        <f>SUM('X-高新:X-中天鸿锂'!M57)</f>
        <v>0</v>
      </c>
      <c r="N57" s="21">
        <f>SUM('X-高新:X-中天鸿锂'!N57)</f>
        <v>0</v>
      </c>
      <c r="O57" s="21">
        <f>SUM('X-高新:X-中天鸿锂'!O57)</f>
        <v>0</v>
      </c>
      <c r="P57" s="47">
        <f t="shared" si="0"/>
        <v>0</v>
      </c>
      <c r="R57" s="48"/>
      <c r="S57" s="283"/>
    </row>
    <row r="58" s="279" customFormat="1" ht="17.25" customHeight="1" spans="1:19">
      <c r="A58" s="214"/>
      <c r="B58" s="281" t="s">
        <v>133</v>
      </c>
      <c r="C58" s="282" t="s">
        <v>133</v>
      </c>
      <c r="D58" s="170">
        <f>SUM('X-高新:X-中天鸿锂'!D58)-'X-宁德'!D58</f>
        <v>0</v>
      </c>
      <c r="E58" s="170">
        <f>SUM('X-高新:X-中天鸿锂'!E58)-'X-宁德'!E58</f>
        <v>-59000</v>
      </c>
      <c r="F58" s="170">
        <f>SUM('X-高新:X-中天鸿锂'!F58)-'X-宁德'!F58</f>
        <v>0</v>
      </c>
      <c r="G58" s="170">
        <f>SUM('X-高新:X-中天鸿锂'!G58)-'X-宁德'!G58</f>
        <v>699</v>
      </c>
      <c r="H58" s="170">
        <f>SUM('X-高新:X-中天鸿锂'!H58)-'X-宁德'!H58</f>
        <v>0</v>
      </c>
      <c r="I58" s="170">
        <f>SUM('X-高新:X-中天鸿锂'!I58)-'X-宁德'!I58</f>
        <v>0</v>
      </c>
      <c r="J58" s="170">
        <f>SUM('X-高新:X-中天鸿锂'!J58)-'X-宁德'!J58</f>
        <v>0</v>
      </c>
      <c r="K58" s="170">
        <f>SUM('X-高新:X-中天鸿锂'!K58)-'X-宁德'!K58</f>
        <v>0</v>
      </c>
      <c r="L58" s="170">
        <f>SUM('X-高新:X-中天鸿锂'!L58)-'X-宁德'!L58</f>
        <v>0</v>
      </c>
      <c r="M58" s="170">
        <f>SUM('X-高新:X-中天鸿锂'!M58)-'X-宁德'!M58</f>
        <v>0</v>
      </c>
      <c r="N58" s="170">
        <f>SUM('X-高新:X-中天鸿锂'!N58)-'X-宁德'!N58</f>
        <v>0</v>
      </c>
      <c r="O58" s="170">
        <f>SUM('X-高新:X-中天鸿锂'!O58)-'X-宁德'!O58</f>
        <v>0</v>
      </c>
      <c r="P58" s="180">
        <f t="shared" si="0"/>
        <v>-58301</v>
      </c>
      <c r="R58" s="284"/>
      <c r="S58" s="285"/>
    </row>
    <row r="59" s="5" customFormat="1" ht="17.25" customHeight="1" spans="1:19">
      <c r="A59" s="214"/>
      <c r="B59" s="37" t="s">
        <v>134</v>
      </c>
      <c r="C59" s="207" t="s">
        <v>135</v>
      </c>
      <c r="D59" s="21">
        <f>SUM('X-高新:X-中天鸿锂'!D59)</f>
        <v>169103.84</v>
      </c>
      <c r="E59" s="21">
        <f>SUM('X-高新:X-中天鸿锂'!E59)</f>
        <v>102293.79</v>
      </c>
      <c r="F59" s="21">
        <f>SUM('X-高新:X-中天鸿锂'!F59)</f>
        <v>103596.21</v>
      </c>
      <c r="G59" s="21">
        <f>SUM('X-高新:X-中天鸿锂'!G59)</f>
        <v>5898.13</v>
      </c>
      <c r="H59" s="21">
        <f>SUM('X-高新:X-中天鸿锂'!H59)</f>
        <v>0</v>
      </c>
      <c r="I59" s="21">
        <f>SUM('X-高新:X-中天鸿锂'!I59)</f>
        <v>0</v>
      </c>
      <c r="J59" s="21">
        <f>SUM('X-高新:X-中天鸿锂'!J59)</f>
        <v>0</v>
      </c>
      <c r="K59" s="21">
        <f>SUM('X-高新:X-中天鸿锂'!K59)</f>
        <v>0</v>
      </c>
      <c r="L59" s="21">
        <f>SUM('X-高新:X-中天鸿锂'!L59)</f>
        <v>0</v>
      </c>
      <c r="M59" s="21">
        <f>SUM('X-高新:X-中天鸿锂'!M59)</f>
        <v>0</v>
      </c>
      <c r="N59" s="21">
        <f>SUM('X-高新:X-中天鸿锂'!N59)</f>
        <v>0</v>
      </c>
      <c r="O59" s="21">
        <f>SUM('X-高新:X-中天鸿锂'!O59)</f>
        <v>0</v>
      </c>
      <c r="P59" s="47">
        <f t="shared" si="0"/>
        <v>380891.97</v>
      </c>
      <c r="R59" s="48"/>
      <c r="S59" s="283"/>
    </row>
    <row r="60" s="5" customFormat="1" ht="17.25" customHeight="1" spans="1:19">
      <c r="A60" s="214"/>
      <c r="B60" s="39"/>
      <c r="C60" s="207" t="s">
        <v>83</v>
      </c>
      <c r="D60" s="21">
        <f>SUM('X-高新:X-中天鸿锂'!D60)</f>
        <v>0</v>
      </c>
      <c r="E60" s="21">
        <f>SUM('X-高新:X-中天鸿锂'!E60)</f>
        <v>0</v>
      </c>
      <c r="F60" s="21">
        <f>SUM('X-高新:X-中天鸿锂'!F60)</f>
        <v>0</v>
      </c>
      <c r="G60" s="21">
        <f>SUM('X-高新:X-中天鸿锂'!G60)</f>
        <v>0</v>
      </c>
      <c r="H60" s="21">
        <f>SUM('X-高新:X-中天鸿锂'!H60)</f>
        <v>0</v>
      </c>
      <c r="I60" s="21">
        <f>SUM('X-高新:X-中天鸿锂'!I60)</f>
        <v>0</v>
      </c>
      <c r="J60" s="21">
        <f>SUM('X-高新:X-中天鸿锂'!J60)</f>
        <v>0</v>
      </c>
      <c r="K60" s="21">
        <f>SUM('X-高新:X-中天鸿锂'!K60)</f>
        <v>0</v>
      </c>
      <c r="L60" s="21">
        <f>SUM('X-高新:X-中天鸿锂'!L60)</f>
        <v>0</v>
      </c>
      <c r="M60" s="21">
        <f>SUM('X-高新:X-中天鸿锂'!M60)</f>
        <v>0</v>
      </c>
      <c r="N60" s="21">
        <f>SUM('X-高新:X-中天鸿锂'!N60)</f>
        <v>0</v>
      </c>
      <c r="O60" s="21">
        <f>SUM('X-高新:X-中天鸿锂'!O60)</f>
        <v>0</v>
      </c>
      <c r="P60" s="47">
        <f t="shared" si="0"/>
        <v>0</v>
      </c>
      <c r="R60" s="48"/>
      <c r="S60" s="283"/>
    </row>
    <row r="61" s="5" customFormat="1" ht="17.25" customHeight="1" spans="1:19">
      <c r="A61" s="214"/>
      <c r="B61" s="40" t="s">
        <v>136</v>
      </c>
      <c r="C61" s="207" t="s">
        <v>136</v>
      </c>
      <c r="D61" s="21">
        <f>SUM('X-高新:X-中天鸿锂'!D61)</f>
        <v>15112.86</v>
      </c>
      <c r="E61" s="21">
        <f>SUM('X-高新:X-中天鸿锂'!E61)</f>
        <v>1008.97</v>
      </c>
      <c r="F61" s="21">
        <f>SUM('X-高新:X-中天鸿锂'!F61)</f>
        <v>101264.03</v>
      </c>
      <c r="G61" s="21">
        <f>SUM('X-高新:X-中天鸿锂'!G61)</f>
        <v>716063.03</v>
      </c>
      <c r="H61" s="21">
        <f>SUM('X-高新:X-中天鸿锂'!H61)</f>
        <v>0</v>
      </c>
      <c r="I61" s="21">
        <f>SUM('X-高新:X-中天鸿锂'!I61)</f>
        <v>0</v>
      </c>
      <c r="J61" s="21">
        <f>SUM('X-高新:X-中天鸿锂'!J61)</f>
        <v>0</v>
      </c>
      <c r="K61" s="21">
        <f>SUM('X-高新:X-中天鸿锂'!K61)</f>
        <v>0</v>
      </c>
      <c r="L61" s="21">
        <f>SUM('X-高新:X-中天鸿锂'!L61)</f>
        <v>0</v>
      </c>
      <c r="M61" s="21">
        <f>SUM('X-高新:X-中天鸿锂'!M61)</f>
        <v>0</v>
      </c>
      <c r="N61" s="21">
        <f>SUM('X-高新:X-中天鸿锂'!N61)</f>
        <v>0</v>
      </c>
      <c r="O61" s="21">
        <f>SUM('X-高新:X-中天鸿锂'!O61)</f>
        <v>0</v>
      </c>
      <c r="P61" s="47">
        <f t="shared" si="0"/>
        <v>833448.89</v>
      </c>
      <c r="R61" s="48"/>
      <c r="S61" s="283"/>
    </row>
    <row r="62" s="5" customFormat="1" ht="17.25" customHeight="1" spans="1:19">
      <c r="A62" s="215"/>
      <c r="B62" s="26" t="s">
        <v>137</v>
      </c>
      <c r="C62" s="207" t="s">
        <v>137</v>
      </c>
      <c r="D62" s="21">
        <f>SUM('X-高新:X-中天鸿锂'!D62)</f>
        <v>0</v>
      </c>
      <c r="E62" s="21">
        <f>SUM('X-高新:X-中天鸿锂'!E62)</f>
        <v>0</v>
      </c>
      <c r="F62" s="21">
        <f>SUM('X-高新:X-中天鸿锂'!F62)</f>
        <v>46037.74</v>
      </c>
      <c r="G62" s="21">
        <f>SUM('X-高新:X-中天鸿锂'!G62)</f>
        <v>0</v>
      </c>
      <c r="H62" s="21">
        <f>SUM('X-高新:X-中天鸿锂'!H62)</f>
        <v>0</v>
      </c>
      <c r="I62" s="21">
        <f>SUM('X-高新:X-中天鸿锂'!I62)</f>
        <v>0</v>
      </c>
      <c r="J62" s="21">
        <f>SUM('X-高新:X-中天鸿锂'!J62)</f>
        <v>0</v>
      </c>
      <c r="K62" s="21">
        <f>SUM('X-高新:X-中天鸿锂'!K62)</f>
        <v>0</v>
      </c>
      <c r="L62" s="21">
        <f>SUM('X-高新:X-中天鸿锂'!L62)</f>
        <v>0</v>
      </c>
      <c r="M62" s="21">
        <f>SUM('X-高新:X-中天鸿锂'!M62)</f>
        <v>0</v>
      </c>
      <c r="N62" s="21">
        <f>SUM('X-高新:X-中天鸿锂'!N62)</f>
        <v>0</v>
      </c>
      <c r="O62" s="21">
        <f>SUM('X-高新:X-中天鸿锂'!O62)</f>
        <v>0</v>
      </c>
      <c r="P62" s="47">
        <f t="shared" si="0"/>
        <v>46037.74</v>
      </c>
      <c r="R62" s="48"/>
      <c r="S62" s="283"/>
    </row>
    <row r="63" s="5" customFormat="1" ht="17.25" customHeight="1" spans="1:19">
      <c r="A63" s="216" t="s">
        <v>138</v>
      </c>
      <c r="B63" s="43" t="s">
        <v>139</v>
      </c>
      <c r="C63" s="207" t="s">
        <v>139</v>
      </c>
      <c r="D63" s="21">
        <f>SUM('X-高新:X-中天鸿锂'!D63)</f>
        <v>0</v>
      </c>
      <c r="E63" s="21">
        <f>SUM('X-高新:X-中天鸿锂'!E63)</f>
        <v>0</v>
      </c>
      <c r="F63" s="21">
        <f>SUM('X-高新:X-中天鸿锂'!F63)</f>
        <v>42.73</v>
      </c>
      <c r="G63" s="21">
        <f>SUM('X-高新:X-中天鸿锂'!G63)</f>
        <v>0</v>
      </c>
      <c r="H63" s="21">
        <f>SUM('X-高新:X-中天鸿锂'!H63)</f>
        <v>0</v>
      </c>
      <c r="I63" s="21">
        <f>SUM('X-高新:X-中天鸿锂'!I63)</f>
        <v>0</v>
      </c>
      <c r="J63" s="21">
        <f>SUM('X-高新:X-中天鸿锂'!J63)</f>
        <v>0</v>
      </c>
      <c r="K63" s="21">
        <f>SUM('X-高新:X-中天鸿锂'!K63)</f>
        <v>0</v>
      </c>
      <c r="L63" s="21">
        <f>SUM('X-高新:X-中天鸿锂'!L63)</f>
        <v>0</v>
      </c>
      <c r="M63" s="21">
        <f>SUM('X-高新:X-中天鸿锂'!M63)</f>
        <v>0</v>
      </c>
      <c r="N63" s="21">
        <f>SUM('X-高新:X-中天鸿锂'!N63)</f>
        <v>0</v>
      </c>
      <c r="O63" s="21">
        <f>SUM('X-高新:X-中天鸿锂'!O63)</f>
        <v>0</v>
      </c>
      <c r="P63" s="47">
        <f t="shared" si="0"/>
        <v>42.73</v>
      </c>
      <c r="R63" s="48"/>
      <c r="S63" s="283"/>
    </row>
    <row r="64" s="5" customFormat="1" ht="17.25" customHeight="1" spans="1:19">
      <c r="A64" s="217"/>
      <c r="B64" s="43" t="s">
        <v>140</v>
      </c>
      <c r="C64" s="207" t="s">
        <v>140</v>
      </c>
      <c r="D64" s="21">
        <f>SUM('X-高新:X-中天鸿锂'!D64)</f>
        <v>0</v>
      </c>
      <c r="E64" s="21">
        <f>SUM('X-高新:X-中天鸿锂'!E64)</f>
        <v>0</v>
      </c>
      <c r="F64" s="21">
        <f>SUM('X-高新:X-中天鸿锂'!F64)</f>
        <v>0</v>
      </c>
      <c r="G64" s="21">
        <f>SUM('X-高新:X-中天鸿锂'!G64)</f>
        <v>0</v>
      </c>
      <c r="H64" s="21">
        <f>SUM('X-高新:X-中天鸿锂'!H64)</f>
        <v>0</v>
      </c>
      <c r="I64" s="21">
        <f>SUM('X-高新:X-中天鸿锂'!I64)</f>
        <v>0</v>
      </c>
      <c r="J64" s="21">
        <f>SUM('X-高新:X-中天鸿锂'!J64)</f>
        <v>0</v>
      </c>
      <c r="K64" s="21">
        <f>SUM('X-高新:X-中天鸿锂'!K64)</f>
        <v>0</v>
      </c>
      <c r="L64" s="21">
        <f>SUM('X-高新:X-中天鸿锂'!L64)</f>
        <v>0</v>
      </c>
      <c r="M64" s="21">
        <f>SUM('X-高新:X-中天鸿锂'!M64)</f>
        <v>0</v>
      </c>
      <c r="N64" s="21">
        <f>SUM('X-高新:X-中天鸿锂'!N64)</f>
        <v>0</v>
      </c>
      <c r="O64" s="21">
        <f>SUM('X-高新:X-中天鸿锂'!O64)</f>
        <v>0</v>
      </c>
      <c r="P64" s="47">
        <f t="shared" si="0"/>
        <v>0</v>
      </c>
      <c r="R64" s="48"/>
      <c r="S64" s="283"/>
    </row>
    <row r="65" s="5" customFormat="1" ht="17.25" customHeight="1" spans="1:19">
      <c r="A65" s="217"/>
      <c r="B65" s="43" t="s">
        <v>141</v>
      </c>
      <c r="C65" s="207" t="s">
        <v>141</v>
      </c>
      <c r="D65" s="21">
        <f>SUM('X-高新:X-中天鸿锂'!D65)</f>
        <v>0</v>
      </c>
      <c r="E65" s="21">
        <f>SUM('X-高新:X-中天鸿锂'!E65)</f>
        <v>0</v>
      </c>
      <c r="F65" s="21">
        <f>SUM('X-高新:X-中天鸿锂'!F65)</f>
        <v>0</v>
      </c>
      <c r="G65" s="21">
        <f>SUM('X-高新:X-中天鸿锂'!G65)</f>
        <v>190</v>
      </c>
      <c r="H65" s="21">
        <f>SUM('X-高新:X-中天鸿锂'!H65)</f>
        <v>0</v>
      </c>
      <c r="I65" s="21">
        <f>SUM('X-高新:X-中天鸿锂'!I65)</f>
        <v>0</v>
      </c>
      <c r="J65" s="21">
        <f>SUM('X-高新:X-中天鸿锂'!J65)</f>
        <v>0</v>
      </c>
      <c r="K65" s="21">
        <f>SUM('X-高新:X-中天鸿锂'!K65)</f>
        <v>0</v>
      </c>
      <c r="L65" s="21">
        <f>SUM('X-高新:X-中天鸿锂'!L65)</f>
        <v>0</v>
      </c>
      <c r="M65" s="21">
        <f>SUM('X-高新:X-中天鸿锂'!M65)</f>
        <v>0</v>
      </c>
      <c r="N65" s="21">
        <f>SUM('X-高新:X-中天鸿锂'!N65)</f>
        <v>0</v>
      </c>
      <c r="O65" s="21">
        <f>SUM('X-高新:X-中天鸿锂'!O65)</f>
        <v>0</v>
      </c>
      <c r="P65" s="47">
        <f t="shared" si="0"/>
        <v>190</v>
      </c>
      <c r="R65" s="48"/>
      <c r="S65" s="283"/>
    </row>
    <row r="66" s="5" customFormat="1" ht="17.25" customHeight="1" spans="1:19">
      <c r="A66" s="217"/>
      <c r="B66" s="43" t="s">
        <v>142</v>
      </c>
      <c r="C66" s="207" t="s">
        <v>142</v>
      </c>
      <c r="D66" s="21">
        <f>SUM('X-高新:X-中天鸿锂'!D66)</f>
        <v>0</v>
      </c>
      <c r="E66" s="21">
        <f>SUM('X-高新:X-中天鸿锂'!E66)</f>
        <v>0</v>
      </c>
      <c r="F66" s="21">
        <f>SUM('X-高新:X-中天鸿锂'!F66)</f>
        <v>0</v>
      </c>
      <c r="G66" s="21">
        <f>SUM('X-高新:X-中天鸿锂'!G66)</f>
        <v>0</v>
      </c>
      <c r="H66" s="21">
        <f>SUM('X-高新:X-中天鸿锂'!H66)</f>
        <v>0</v>
      </c>
      <c r="I66" s="21">
        <f>SUM('X-高新:X-中天鸿锂'!I66)</f>
        <v>0</v>
      </c>
      <c r="J66" s="21">
        <f>SUM('X-高新:X-中天鸿锂'!J66)</f>
        <v>0</v>
      </c>
      <c r="K66" s="21">
        <f>SUM('X-高新:X-中天鸿锂'!K66)</f>
        <v>0</v>
      </c>
      <c r="L66" s="21">
        <f>SUM('X-高新:X-中天鸿锂'!L66)</f>
        <v>0</v>
      </c>
      <c r="M66" s="21">
        <f>SUM('X-高新:X-中天鸿锂'!M66)</f>
        <v>0</v>
      </c>
      <c r="N66" s="21">
        <f>SUM('X-高新:X-中天鸿锂'!N66)</f>
        <v>0</v>
      </c>
      <c r="O66" s="21">
        <f>SUM('X-高新:X-中天鸿锂'!O66)</f>
        <v>0</v>
      </c>
      <c r="P66" s="47">
        <f t="shared" si="0"/>
        <v>0</v>
      </c>
      <c r="R66" s="48"/>
      <c r="S66" s="283"/>
    </row>
    <row r="67" s="5" customFormat="1" ht="17.25" customHeight="1" spans="1:19">
      <c r="A67" s="217"/>
      <c r="B67" s="43" t="s">
        <v>143</v>
      </c>
      <c r="C67" s="207" t="s">
        <v>143</v>
      </c>
      <c r="D67" s="21">
        <f>SUM('X-高新:X-中天鸿锂'!D67)</f>
        <v>0</v>
      </c>
      <c r="E67" s="21">
        <f>SUM('X-高新:X-中天鸿锂'!E67)</f>
        <v>0</v>
      </c>
      <c r="F67" s="21">
        <f>SUM('X-高新:X-中天鸿锂'!F67)</f>
        <v>0</v>
      </c>
      <c r="G67" s="21">
        <f>SUM('X-高新:X-中天鸿锂'!G67)</f>
        <v>0</v>
      </c>
      <c r="H67" s="21">
        <f>SUM('X-高新:X-中天鸿锂'!H67)</f>
        <v>0</v>
      </c>
      <c r="I67" s="21">
        <f>SUM('X-高新:X-中天鸿锂'!I67)</f>
        <v>0</v>
      </c>
      <c r="J67" s="21">
        <f>SUM('X-高新:X-中天鸿锂'!J67)</f>
        <v>0</v>
      </c>
      <c r="K67" s="21">
        <f>SUM('X-高新:X-中天鸿锂'!K67)</f>
        <v>0</v>
      </c>
      <c r="L67" s="21">
        <f>SUM('X-高新:X-中天鸿锂'!L67)</f>
        <v>0</v>
      </c>
      <c r="M67" s="21">
        <f>SUM('X-高新:X-中天鸿锂'!M67)</f>
        <v>0</v>
      </c>
      <c r="N67" s="21">
        <f>SUM('X-高新:X-中天鸿锂'!N67)</f>
        <v>0</v>
      </c>
      <c r="O67" s="21">
        <f>SUM('X-高新:X-中天鸿锂'!O67)</f>
        <v>0</v>
      </c>
      <c r="P67" s="47">
        <f t="shared" si="0"/>
        <v>0</v>
      </c>
      <c r="R67" s="48"/>
      <c r="S67" s="283"/>
    </row>
    <row r="68" s="5" customFormat="1" ht="17.25" customHeight="1" spans="1:19">
      <c r="A68" s="217"/>
      <c r="B68" s="37" t="s">
        <v>144</v>
      </c>
      <c r="C68" s="207" t="s">
        <v>145</v>
      </c>
      <c r="D68" s="21">
        <f>SUM('X-高新:X-中天鸿锂'!D68)</f>
        <v>271859.72</v>
      </c>
      <c r="E68" s="21">
        <f>SUM('X-高新:X-中天鸿锂'!E68)</f>
        <v>73147.42</v>
      </c>
      <c r="F68" s="21">
        <f>SUM('X-高新:X-中天鸿锂'!F68)</f>
        <v>352499.48</v>
      </c>
      <c r="G68" s="21">
        <f>SUM('X-高新:X-中天鸿锂'!G68)</f>
        <v>291281.23</v>
      </c>
      <c r="H68" s="21">
        <f>SUM('X-高新:X-中天鸿锂'!H68)</f>
        <v>0</v>
      </c>
      <c r="I68" s="21">
        <f>SUM('X-高新:X-中天鸿锂'!I68)</f>
        <v>0</v>
      </c>
      <c r="J68" s="21">
        <f>SUM('X-高新:X-中天鸿锂'!J68)</f>
        <v>0</v>
      </c>
      <c r="K68" s="21">
        <f>SUM('X-高新:X-中天鸿锂'!K68)</f>
        <v>0</v>
      </c>
      <c r="L68" s="21">
        <f>SUM('X-高新:X-中天鸿锂'!L68)</f>
        <v>0</v>
      </c>
      <c r="M68" s="21">
        <f>SUM('X-高新:X-中天鸿锂'!M68)</f>
        <v>0</v>
      </c>
      <c r="N68" s="21">
        <f>SUM('X-高新:X-中天鸿锂'!N68)</f>
        <v>0</v>
      </c>
      <c r="O68" s="21">
        <f>SUM('X-高新:X-中天鸿锂'!O68)</f>
        <v>0</v>
      </c>
      <c r="P68" s="47">
        <f t="shared" si="0"/>
        <v>988787.85</v>
      </c>
      <c r="R68" s="48"/>
      <c r="S68" s="283"/>
    </row>
    <row r="69" s="5" customFormat="1" ht="17.25" customHeight="1" spans="1:19">
      <c r="A69" s="217"/>
      <c r="B69" s="39"/>
      <c r="C69" s="207" t="s">
        <v>146</v>
      </c>
      <c r="D69" s="21">
        <f>SUM('X-高新:X-中天鸿锂'!D69)</f>
        <v>2987081.57</v>
      </c>
      <c r="E69" s="21">
        <f>SUM('X-高新:X-中天鸿锂'!E69)</f>
        <v>3156508.23</v>
      </c>
      <c r="F69" s="21">
        <f>SUM('X-高新:X-中天鸿锂'!F69)</f>
        <v>6462462.01</v>
      </c>
      <c r="G69" s="21">
        <f>SUM('X-高新:X-中天鸿锂'!G69)</f>
        <v>7218095.76</v>
      </c>
      <c r="H69" s="21">
        <f>SUM('X-高新:X-中天鸿锂'!H69)</f>
        <v>0</v>
      </c>
      <c r="I69" s="21">
        <f>SUM('X-高新:X-中天鸿锂'!I69)</f>
        <v>0</v>
      </c>
      <c r="J69" s="21">
        <f>SUM('X-高新:X-中天鸿锂'!J69)</f>
        <v>0</v>
      </c>
      <c r="K69" s="21">
        <f>SUM('X-高新:X-中天鸿锂'!K69)</f>
        <v>0</v>
      </c>
      <c r="L69" s="21">
        <f>SUM('X-高新:X-中天鸿锂'!L69)</f>
        <v>0</v>
      </c>
      <c r="M69" s="21">
        <f>SUM('X-高新:X-中天鸿锂'!M69)</f>
        <v>0</v>
      </c>
      <c r="N69" s="21">
        <f>SUM('X-高新:X-中天鸿锂'!N69)</f>
        <v>0</v>
      </c>
      <c r="O69" s="21">
        <f>SUM('X-高新:X-中天鸿锂'!O69)</f>
        <v>0</v>
      </c>
      <c r="P69" s="47">
        <f t="shared" si="0"/>
        <v>19824147.57</v>
      </c>
      <c r="R69" s="48"/>
      <c r="S69" s="283"/>
    </row>
    <row r="70" s="5" customFormat="1" ht="17.25" customHeight="1" spans="1:19">
      <c r="A70" s="217"/>
      <c r="B70" s="37" t="s">
        <v>147</v>
      </c>
      <c r="C70" s="206" t="s">
        <v>147</v>
      </c>
      <c r="D70" s="21">
        <f>SUM('X-高新:X-中天鸿锂'!D70)</f>
        <v>57241.03</v>
      </c>
      <c r="E70" s="21">
        <f>SUM('X-高新:X-中天鸿锂'!E70)</f>
        <v>8440.1</v>
      </c>
      <c r="F70" s="21">
        <f>SUM('X-高新:X-中天鸿锂'!F70)</f>
        <v>111506.03</v>
      </c>
      <c r="G70" s="21">
        <f>SUM('X-高新:X-中天鸿锂'!G70)</f>
        <v>79778.31</v>
      </c>
      <c r="H70" s="21">
        <f>SUM('X-高新:X-中天鸿锂'!H70)</f>
        <v>0</v>
      </c>
      <c r="I70" s="21">
        <f>SUM('X-高新:X-中天鸿锂'!I70)</f>
        <v>0</v>
      </c>
      <c r="J70" s="21">
        <f>SUM('X-高新:X-中天鸿锂'!J70)</f>
        <v>0</v>
      </c>
      <c r="K70" s="21">
        <f>SUM('X-高新:X-中天鸿锂'!K70)</f>
        <v>0</v>
      </c>
      <c r="L70" s="21">
        <f>SUM('X-高新:X-中天鸿锂'!L70)</f>
        <v>0</v>
      </c>
      <c r="M70" s="21">
        <f>SUM('X-高新:X-中天鸿锂'!M70)</f>
        <v>0</v>
      </c>
      <c r="N70" s="21">
        <f>SUM('X-高新:X-中天鸿锂'!N70)</f>
        <v>0</v>
      </c>
      <c r="O70" s="21">
        <f>SUM('X-高新:X-中天鸿锂'!O70)</f>
        <v>0</v>
      </c>
      <c r="P70" s="47">
        <f t="shared" si="0"/>
        <v>256965.47</v>
      </c>
      <c r="R70" s="48"/>
      <c r="S70" s="283"/>
    </row>
    <row r="71" s="5" customFormat="1" ht="17.25" customHeight="1" spans="1:19">
      <c r="A71" s="217"/>
      <c r="B71" s="40" t="s">
        <v>148</v>
      </c>
      <c r="C71" s="207" t="s">
        <v>148</v>
      </c>
      <c r="D71" s="21">
        <f>SUM('X-高新:X-中天鸿锂'!D71)</f>
        <v>0</v>
      </c>
      <c r="E71" s="21">
        <f>SUM('X-高新:X-中天鸿锂'!E71)</f>
        <v>0</v>
      </c>
      <c r="F71" s="21">
        <f>SUM('X-高新:X-中天鸿锂'!F71)</f>
        <v>0</v>
      </c>
      <c r="G71" s="21">
        <f>SUM('X-高新:X-中天鸿锂'!G71)</f>
        <v>0</v>
      </c>
      <c r="H71" s="21">
        <f>SUM('X-高新:X-中天鸿锂'!H71)</f>
        <v>0</v>
      </c>
      <c r="I71" s="21">
        <f>SUM('X-高新:X-中天鸿锂'!I71)</f>
        <v>0</v>
      </c>
      <c r="J71" s="21">
        <f>SUM('X-高新:X-中天鸿锂'!J71)</f>
        <v>0</v>
      </c>
      <c r="K71" s="21">
        <f>SUM('X-高新:X-中天鸿锂'!K71)</f>
        <v>0</v>
      </c>
      <c r="L71" s="21">
        <f>SUM('X-高新:X-中天鸿锂'!L71)</f>
        <v>0</v>
      </c>
      <c r="M71" s="21">
        <f>SUM('X-高新:X-中天鸿锂'!M71)</f>
        <v>0</v>
      </c>
      <c r="N71" s="21">
        <f>SUM('X-高新:X-中天鸿锂'!N71)</f>
        <v>0</v>
      </c>
      <c r="O71" s="21">
        <f>SUM('X-高新:X-中天鸿锂'!O71)</f>
        <v>0</v>
      </c>
      <c r="P71" s="47">
        <f t="shared" ref="P71:P92" si="1">SUM(D71:O71)</f>
        <v>0</v>
      </c>
      <c r="R71" s="48"/>
      <c r="S71" s="283"/>
    </row>
    <row r="72" s="5" customFormat="1" ht="17.25" customHeight="1" spans="1:19">
      <c r="A72" s="217"/>
      <c r="B72" s="40" t="s">
        <v>149</v>
      </c>
      <c r="C72" s="207" t="s">
        <v>149</v>
      </c>
      <c r="D72" s="21">
        <f>SUM('X-高新:X-中天鸿锂'!D72)</f>
        <v>0</v>
      </c>
      <c r="E72" s="21">
        <f>SUM('X-高新:X-中天鸿锂'!E72)</f>
        <v>0</v>
      </c>
      <c r="F72" s="21">
        <f>SUM('X-高新:X-中天鸿锂'!F72)</f>
        <v>0</v>
      </c>
      <c r="G72" s="21">
        <f>SUM('X-高新:X-中天鸿锂'!G72)</f>
        <v>0</v>
      </c>
      <c r="H72" s="21">
        <f>SUM('X-高新:X-中天鸿锂'!H72)</f>
        <v>0</v>
      </c>
      <c r="I72" s="21">
        <f>SUM('X-高新:X-中天鸿锂'!I72)</f>
        <v>0</v>
      </c>
      <c r="J72" s="21">
        <f>SUM('X-高新:X-中天鸿锂'!J72)</f>
        <v>0</v>
      </c>
      <c r="K72" s="21">
        <f>SUM('X-高新:X-中天鸿锂'!K72)</f>
        <v>0</v>
      </c>
      <c r="L72" s="21">
        <f>SUM('X-高新:X-中天鸿锂'!L72)</f>
        <v>0</v>
      </c>
      <c r="M72" s="21">
        <f>SUM('X-高新:X-中天鸿锂'!M72)</f>
        <v>0</v>
      </c>
      <c r="N72" s="21">
        <f>SUM('X-高新:X-中天鸿锂'!N72)</f>
        <v>0</v>
      </c>
      <c r="O72" s="21">
        <f>SUM('X-高新:X-中天鸿锂'!O72)</f>
        <v>0</v>
      </c>
      <c r="P72" s="47">
        <f t="shared" si="1"/>
        <v>0</v>
      </c>
      <c r="R72" s="48"/>
      <c r="S72" s="283"/>
    </row>
    <row r="73" s="5" customFormat="1" ht="17.25" customHeight="1" spans="1:19">
      <c r="A73" s="217"/>
      <c r="B73" s="37" t="s">
        <v>150</v>
      </c>
      <c r="C73" s="207" t="s">
        <v>151</v>
      </c>
      <c r="D73" s="21">
        <f>SUM('X-高新:X-中天鸿锂'!D73)</f>
        <v>0</v>
      </c>
      <c r="E73" s="21">
        <f>SUM('X-高新:X-中天鸿锂'!E73)</f>
        <v>0</v>
      </c>
      <c r="F73" s="21">
        <f>SUM('X-高新:X-中天鸿锂'!F73)</f>
        <v>0</v>
      </c>
      <c r="G73" s="21">
        <f>SUM('X-高新:X-中天鸿锂'!G73)</f>
        <v>0</v>
      </c>
      <c r="H73" s="21">
        <f>SUM('X-高新:X-中天鸿锂'!H73)</f>
        <v>0</v>
      </c>
      <c r="I73" s="21">
        <f>SUM('X-高新:X-中天鸿锂'!I73)</f>
        <v>0</v>
      </c>
      <c r="J73" s="21">
        <f>SUM('X-高新:X-中天鸿锂'!J73)</f>
        <v>0</v>
      </c>
      <c r="K73" s="21">
        <f>SUM('X-高新:X-中天鸿锂'!K73)</f>
        <v>0</v>
      </c>
      <c r="L73" s="21">
        <f>SUM('X-高新:X-中天鸿锂'!L73)</f>
        <v>0</v>
      </c>
      <c r="M73" s="21">
        <f>SUM('X-高新:X-中天鸿锂'!M73)</f>
        <v>0</v>
      </c>
      <c r="N73" s="21">
        <f>SUM('X-高新:X-中天鸿锂'!N73)</f>
        <v>0</v>
      </c>
      <c r="O73" s="21">
        <f>SUM('X-高新:X-中天鸿锂'!O73)</f>
        <v>0</v>
      </c>
      <c r="P73" s="47">
        <f t="shared" si="1"/>
        <v>0</v>
      </c>
      <c r="R73" s="48"/>
      <c r="S73" s="283"/>
    </row>
    <row r="74" s="5" customFormat="1" ht="17.25" customHeight="1" spans="1:19">
      <c r="A74" s="217"/>
      <c r="B74" s="39"/>
      <c r="C74" s="218" t="s">
        <v>152</v>
      </c>
      <c r="D74" s="21">
        <f>SUM('X-高新:X-中天鸿锂'!D74)</f>
        <v>15482</v>
      </c>
      <c r="E74" s="21">
        <f>SUM('X-高新:X-中天鸿锂'!E74)</f>
        <v>-13312</v>
      </c>
      <c r="F74" s="21">
        <f>SUM('X-高新:X-中天鸿锂'!F74)</f>
        <v>69077.56</v>
      </c>
      <c r="G74" s="21">
        <f>SUM('X-高新:X-中天鸿锂'!G74)</f>
        <v>22625.68</v>
      </c>
      <c r="H74" s="21">
        <f>SUM('X-高新:X-中天鸿锂'!H74)</f>
        <v>0</v>
      </c>
      <c r="I74" s="21">
        <f>SUM('X-高新:X-中天鸿锂'!I74)</f>
        <v>0</v>
      </c>
      <c r="J74" s="21">
        <f>SUM('X-高新:X-中天鸿锂'!J74)</f>
        <v>0</v>
      </c>
      <c r="K74" s="21">
        <f>SUM('X-高新:X-中天鸿锂'!K74)</f>
        <v>0</v>
      </c>
      <c r="L74" s="21">
        <f>SUM('X-高新:X-中天鸿锂'!L74)</f>
        <v>0</v>
      </c>
      <c r="M74" s="21">
        <f>SUM('X-高新:X-中天鸿锂'!M74)</f>
        <v>0</v>
      </c>
      <c r="N74" s="21">
        <f>SUM('X-高新:X-中天鸿锂'!N74)</f>
        <v>0</v>
      </c>
      <c r="O74" s="21">
        <f>SUM('X-高新:X-中天鸿锂'!O74)</f>
        <v>0</v>
      </c>
      <c r="P74" s="47">
        <f t="shared" si="1"/>
        <v>93873.24</v>
      </c>
      <c r="R74" s="48"/>
      <c r="S74" s="283"/>
    </row>
    <row r="75" s="5" customFormat="1" ht="17.25" customHeight="1" spans="1:19">
      <c r="A75" s="219"/>
      <c r="B75" s="40" t="s">
        <v>153</v>
      </c>
      <c r="C75" s="207" t="s">
        <v>153</v>
      </c>
      <c r="D75" s="21">
        <f>SUM('X-高新:X-中天鸿锂'!D75)</f>
        <v>0</v>
      </c>
      <c r="E75" s="21">
        <f>SUM('X-高新:X-中天鸿锂'!E75)</f>
        <v>0</v>
      </c>
      <c r="F75" s="21">
        <f>SUM('X-高新:X-中天鸿锂'!F75)</f>
        <v>3300</v>
      </c>
      <c r="G75" s="21">
        <f>SUM('X-高新:X-中天鸿锂'!G75)</f>
        <v>200</v>
      </c>
      <c r="H75" s="21">
        <f>SUM('X-高新:X-中天鸿锂'!H75)</f>
        <v>0</v>
      </c>
      <c r="I75" s="21">
        <f>SUM('X-高新:X-中天鸿锂'!I75)</f>
        <v>0</v>
      </c>
      <c r="J75" s="21">
        <f>SUM('X-高新:X-中天鸿锂'!J75)</f>
        <v>0</v>
      </c>
      <c r="K75" s="21">
        <f>SUM('X-高新:X-中天鸿锂'!K75)</f>
        <v>0</v>
      </c>
      <c r="L75" s="21">
        <f>SUM('X-高新:X-中天鸿锂'!L75)</f>
        <v>0</v>
      </c>
      <c r="M75" s="21">
        <f>SUM('X-高新:X-中天鸿锂'!M75)</f>
        <v>0</v>
      </c>
      <c r="N75" s="21">
        <f>SUM('X-高新:X-中天鸿锂'!N75)</f>
        <v>0</v>
      </c>
      <c r="O75" s="21">
        <f>SUM('X-高新:X-中天鸿锂'!O75)</f>
        <v>0</v>
      </c>
      <c r="P75" s="47">
        <f t="shared" si="1"/>
        <v>3500</v>
      </c>
      <c r="R75" s="48"/>
      <c r="S75" s="283"/>
    </row>
    <row r="76" s="5" customFormat="1" ht="17.25" customHeight="1" spans="1:19">
      <c r="A76" s="220" t="s">
        <v>154</v>
      </c>
      <c r="B76" s="19" t="s">
        <v>155</v>
      </c>
      <c r="C76" s="206" t="s">
        <v>155</v>
      </c>
      <c r="D76" s="21">
        <f>SUM('X-高新:X-中天鸿锂'!D76)</f>
        <v>0</v>
      </c>
      <c r="E76" s="21">
        <f>SUM('X-高新:X-中天鸿锂'!E76)</f>
        <v>0</v>
      </c>
      <c r="F76" s="21">
        <f>SUM('X-高新:X-中天鸿锂'!F76)</f>
        <v>0</v>
      </c>
      <c r="G76" s="21">
        <f>SUM('X-高新:X-中天鸿锂'!G76)</f>
        <v>0</v>
      </c>
      <c r="H76" s="21">
        <f>SUM('X-高新:X-中天鸿锂'!H76)</f>
        <v>0</v>
      </c>
      <c r="I76" s="21">
        <f>SUM('X-高新:X-中天鸿锂'!I76)</f>
        <v>0</v>
      </c>
      <c r="J76" s="21">
        <f>SUM('X-高新:X-中天鸿锂'!J76)</f>
        <v>0</v>
      </c>
      <c r="K76" s="21">
        <f>SUM('X-高新:X-中天鸿锂'!K76)</f>
        <v>0</v>
      </c>
      <c r="L76" s="21">
        <f>SUM('X-高新:X-中天鸿锂'!L76)</f>
        <v>0</v>
      </c>
      <c r="M76" s="21">
        <f>SUM('X-高新:X-中天鸿锂'!M76)</f>
        <v>0</v>
      </c>
      <c r="N76" s="21">
        <f>SUM('X-高新:X-中天鸿锂'!N76)</f>
        <v>0</v>
      </c>
      <c r="O76" s="21">
        <f>SUM('X-高新:X-中天鸿锂'!O76)</f>
        <v>0</v>
      </c>
      <c r="P76" s="47">
        <f t="shared" si="1"/>
        <v>0</v>
      </c>
      <c r="R76" s="48"/>
      <c r="S76" s="283"/>
    </row>
    <row r="77" s="5" customFormat="1" ht="17.25" customHeight="1" spans="1:19">
      <c r="A77" s="221"/>
      <c r="B77" s="19" t="s">
        <v>156</v>
      </c>
      <c r="C77" s="207" t="s">
        <v>157</v>
      </c>
      <c r="D77" s="21">
        <f>SUM('X-高新:X-中天鸿锂'!D77)</f>
        <v>38376</v>
      </c>
      <c r="E77" s="21">
        <f>SUM('X-高新:X-中天鸿锂'!E77)</f>
        <v>-50000</v>
      </c>
      <c r="F77" s="21">
        <f>SUM('X-高新:X-中天鸿锂'!F77)</f>
        <v>4811132.06</v>
      </c>
      <c r="G77" s="21">
        <f>SUM('X-高新:X-中天鸿锂'!G77)</f>
        <v>70945.27</v>
      </c>
      <c r="H77" s="21">
        <f>SUM('X-高新:X-中天鸿锂'!H77)</f>
        <v>0</v>
      </c>
      <c r="I77" s="21">
        <f>SUM('X-高新:X-中天鸿锂'!I77)</f>
        <v>0</v>
      </c>
      <c r="J77" s="21">
        <f>SUM('X-高新:X-中天鸿锂'!J77)</f>
        <v>0</v>
      </c>
      <c r="K77" s="21">
        <f>SUM('X-高新:X-中天鸿锂'!K77)</f>
        <v>0</v>
      </c>
      <c r="L77" s="21">
        <f>SUM('X-高新:X-中天鸿锂'!L77)</f>
        <v>0</v>
      </c>
      <c r="M77" s="21">
        <f>SUM('X-高新:X-中天鸿锂'!M77)</f>
        <v>0</v>
      </c>
      <c r="N77" s="21">
        <f>SUM('X-高新:X-中天鸿锂'!N77)</f>
        <v>0</v>
      </c>
      <c r="O77" s="21">
        <f>SUM('X-高新:X-中天鸿锂'!O77)</f>
        <v>0</v>
      </c>
      <c r="P77" s="47">
        <f t="shared" si="1"/>
        <v>4870453.33</v>
      </c>
      <c r="R77" s="48"/>
      <c r="S77" s="283"/>
    </row>
    <row r="78" s="5" customFormat="1" ht="17.25" customHeight="1" spans="1:19">
      <c r="A78" s="221"/>
      <c r="B78" s="23"/>
      <c r="C78" s="218" t="s">
        <v>158</v>
      </c>
      <c r="D78" s="21">
        <f>SUM('X-高新:X-中天鸿锂'!D78)</f>
        <v>0</v>
      </c>
      <c r="E78" s="21">
        <f>SUM('X-高新:X-中天鸿锂'!E78)</f>
        <v>0</v>
      </c>
      <c r="F78" s="21">
        <f>SUM('X-高新:X-中天鸿锂'!F78)</f>
        <v>0</v>
      </c>
      <c r="G78" s="21">
        <f>SUM('X-高新:X-中天鸿锂'!G78)</f>
        <v>0</v>
      </c>
      <c r="H78" s="21">
        <f>SUM('X-高新:X-中天鸿锂'!H78)</f>
        <v>0</v>
      </c>
      <c r="I78" s="21">
        <f>SUM('X-高新:X-中天鸿锂'!I78)</f>
        <v>0</v>
      </c>
      <c r="J78" s="21">
        <f>SUM('X-高新:X-中天鸿锂'!J78)</f>
        <v>0</v>
      </c>
      <c r="K78" s="21">
        <f>SUM('X-高新:X-中天鸿锂'!K78)</f>
        <v>0</v>
      </c>
      <c r="L78" s="21">
        <f>SUM('X-高新:X-中天鸿锂'!L78)</f>
        <v>0</v>
      </c>
      <c r="M78" s="21">
        <f>SUM('X-高新:X-中天鸿锂'!M78)</f>
        <v>0</v>
      </c>
      <c r="N78" s="21">
        <f>SUM('X-高新:X-中天鸿锂'!N78)</f>
        <v>0</v>
      </c>
      <c r="O78" s="21">
        <f>SUM('X-高新:X-中天鸿锂'!O78)</f>
        <v>0</v>
      </c>
      <c r="P78" s="47">
        <f t="shared" si="1"/>
        <v>0</v>
      </c>
      <c r="R78" s="48"/>
      <c r="S78" s="283"/>
    </row>
    <row r="79" s="5" customFormat="1" ht="17.25" customHeight="1" spans="1:19">
      <c r="A79" s="222"/>
      <c r="B79" s="26" t="s">
        <v>159</v>
      </c>
      <c r="C79" s="207" t="s">
        <v>159</v>
      </c>
      <c r="D79" s="21">
        <f>SUM('X-高新:X-中天鸿锂'!D79)</f>
        <v>-9838.5</v>
      </c>
      <c r="E79" s="21">
        <f>SUM('X-高新:X-中天鸿锂'!E79)</f>
        <v>0</v>
      </c>
      <c r="F79" s="21">
        <f>SUM('X-高新:X-中天鸿锂'!F79)</f>
        <v>-3042.7</v>
      </c>
      <c r="G79" s="21">
        <f>SUM('X-高新:X-中天鸿锂'!G79)</f>
        <v>-6858.92</v>
      </c>
      <c r="H79" s="21">
        <f>SUM('X-高新:X-中天鸿锂'!H79)</f>
        <v>0</v>
      </c>
      <c r="I79" s="21">
        <f>SUM('X-高新:X-中天鸿锂'!I79)</f>
        <v>0</v>
      </c>
      <c r="J79" s="21">
        <f>SUM('X-高新:X-中天鸿锂'!J79)</f>
        <v>0</v>
      </c>
      <c r="K79" s="21">
        <f>SUM('X-高新:X-中天鸿锂'!K79)</f>
        <v>0</v>
      </c>
      <c r="L79" s="21">
        <f>SUM('X-高新:X-中天鸿锂'!L79)</f>
        <v>0</v>
      </c>
      <c r="M79" s="21">
        <f>SUM('X-高新:X-中天鸿锂'!M79)</f>
        <v>0</v>
      </c>
      <c r="N79" s="21">
        <f>SUM('X-高新:X-中天鸿锂'!N79)</f>
        <v>0</v>
      </c>
      <c r="O79" s="21">
        <f>SUM('X-高新:X-中天鸿锂'!O79)</f>
        <v>0</v>
      </c>
      <c r="P79" s="47">
        <f t="shared" si="1"/>
        <v>-19740.12</v>
      </c>
      <c r="R79" s="48"/>
      <c r="S79" s="283"/>
    </row>
    <row r="80" s="5" customFormat="1" ht="17.25" customHeight="1" spans="1:19">
      <c r="A80" s="223" t="s">
        <v>160</v>
      </c>
      <c r="B80" s="26" t="s">
        <v>161</v>
      </c>
      <c r="C80" s="207" t="s">
        <v>161</v>
      </c>
      <c r="D80" s="21">
        <f>SUM('X-高新:X-中天鸿锂'!D80)</f>
        <v>14.31</v>
      </c>
      <c r="E80" s="21">
        <f>SUM('X-高新:X-中天鸿锂'!E80)</f>
        <v>136.37</v>
      </c>
      <c r="F80" s="21">
        <f>SUM('X-高新:X-中天鸿锂'!F80)</f>
        <v>246.22</v>
      </c>
      <c r="G80" s="21">
        <f>SUM('X-高新:X-中天鸿锂'!G80)</f>
        <v>952.87</v>
      </c>
      <c r="H80" s="21">
        <f>SUM('X-高新:X-中天鸿锂'!H80)</f>
        <v>0</v>
      </c>
      <c r="I80" s="21">
        <f>SUM('X-高新:X-中天鸿锂'!I80)</f>
        <v>0</v>
      </c>
      <c r="J80" s="21">
        <f>SUM('X-高新:X-中天鸿锂'!J80)</f>
        <v>0</v>
      </c>
      <c r="K80" s="21">
        <f>SUM('X-高新:X-中天鸿锂'!K80)</f>
        <v>0</v>
      </c>
      <c r="L80" s="21">
        <f>SUM('X-高新:X-中天鸿锂'!L80)</f>
        <v>0</v>
      </c>
      <c r="M80" s="21">
        <f>SUM('X-高新:X-中天鸿锂'!M80)</f>
        <v>0</v>
      </c>
      <c r="N80" s="21">
        <f>SUM('X-高新:X-中天鸿锂'!N80)</f>
        <v>0</v>
      </c>
      <c r="O80" s="21">
        <f>SUM('X-高新:X-中天鸿锂'!O80)</f>
        <v>0</v>
      </c>
      <c r="P80" s="47">
        <f t="shared" si="1"/>
        <v>1349.77</v>
      </c>
      <c r="R80" s="48"/>
      <c r="S80" s="283"/>
    </row>
    <row r="81" s="5" customFormat="1" ht="17.25" customHeight="1" spans="1:19">
      <c r="A81" s="224"/>
      <c r="B81" s="26" t="s">
        <v>162</v>
      </c>
      <c r="C81" s="25" t="s">
        <v>162</v>
      </c>
      <c r="D81" s="21">
        <f>SUM('X-高新:X-中天鸿锂'!D81)</f>
        <v>0</v>
      </c>
      <c r="E81" s="21">
        <f>SUM('X-高新:X-中天鸿锂'!E81)</f>
        <v>0</v>
      </c>
      <c r="F81" s="21">
        <f>SUM('X-高新:X-中天鸿锂'!F81)</f>
        <v>0</v>
      </c>
      <c r="G81" s="21">
        <f>SUM('X-高新:X-中天鸿锂'!G81)</f>
        <v>0</v>
      </c>
      <c r="H81" s="21">
        <f>SUM('X-高新:X-中天鸿锂'!H81)</f>
        <v>0</v>
      </c>
      <c r="I81" s="21">
        <f>SUM('X-高新:X-中天鸿锂'!I81)</f>
        <v>0</v>
      </c>
      <c r="J81" s="21">
        <f>SUM('X-高新:X-中天鸿锂'!J81)</f>
        <v>0</v>
      </c>
      <c r="K81" s="21">
        <f>SUM('X-高新:X-中天鸿锂'!K81)</f>
        <v>0</v>
      </c>
      <c r="L81" s="21">
        <f>SUM('X-高新:X-中天鸿锂'!L81)</f>
        <v>0</v>
      </c>
      <c r="M81" s="21">
        <f>SUM('X-高新:X-中天鸿锂'!M81)</f>
        <v>0</v>
      </c>
      <c r="N81" s="21">
        <f>SUM('X-高新:X-中天鸿锂'!N81)</f>
        <v>0</v>
      </c>
      <c r="O81" s="21">
        <f>SUM('X-高新:X-中天鸿锂'!O81)</f>
        <v>0</v>
      </c>
      <c r="P81" s="47">
        <f t="shared" si="1"/>
        <v>0</v>
      </c>
      <c r="R81" s="48"/>
      <c r="S81" s="283"/>
    </row>
    <row r="82" s="5" customFormat="1" ht="17.25" customHeight="1" spans="1:19">
      <c r="A82" s="224"/>
      <c r="B82" s="19" t="s">
        <v>163</v>
      </c>
      <c r="C82" s="25" t="s">
        <v>164</v>
      </c>
      <c r="D82" s="21">
        <f>SUM('X-高新:X-中天鸿锂'!D82)</f>
        <v>0</v>
      </c>
      <c r="E82" s="21">
        <f>SUM('X-高新:X-中天鸿锂'!E82)</f>
        <v>0</v>
      </c>
      <c r="F82" s="21">
        <f>SUM('X-高新:X-中天鸿锂'!F82)</f>
        <v>0</v>
      </c>
      <c r="G82" s="21">
        <f>SUM('X-高新:X-中天鸿锂'!G82)</f>
        <v>0</v>
      </c>
      <c r="H82" s="21">
        <f>SUM('X-高新:X-中天鸿锂'!H82)</f>
        <v>0</v>
      </c>
      <c r="I82" s="21">
        <f>SUM('X-高新:X-中天鸿锂'!I82)</f>
        <v>0</v>
      </c>
      <c r="J82" s="21">
        <f>SUM('X-高新:X-中天鸿锂'!J82)</f>
        <v>0</v>
      </c>
      <c r="K82" s="21">
        <f>SUM('X-高新:X-中天鸿锂'!K82)</f>
        <v>0</v>
      </c>
      <c r="L82" s="21">
        <f>SUM('X-高新:X-中天鸿锂'!L82)</f>
        <v>0</v>
      </c>
      <c r="M82" s="21">
        <f>SUM('X-高新:X-中天鸿锂'!M82)</f>
        <v>0</v>
      </c>
      <c r="N82" s="21">
        <f>SUM('X-高新:X-中天鸿锂'!N82)</f>
        <v>0</v>
      </c>
      <c r="O82" s="21">
        <f>SUM('X-高新:X-中天鸿锂'!O82)</f>
        <v>0</v>
      </c>
      <c r="P82" s="47">
        <f t="shared" si="1"/>
        <v>0</v>
      </c>
      <c r="R82" s="48"/>
      <c r="S82" s="283"/>
    </row>
    <row r="83" s="5" customFormat="1" ht="17.25" customHeight="1" spans="1:19">
      <c r="A83" s="224"/>
      <c r="B83" s="24"/>
      <c r="C83" s="25" t="s">
        <v>165</v>
      </c>
      <c r="D83" s="21">
        <f>SUM('X-高新:X-中天鸿锂'!D83)</f>
        <v>0</v>
      </c>
      <c r="E83" s="21">
        <f>SUM('X-高新:X-中天鸿锂'!E83)</f>
        <v>0</v>
      </c>
      <c r="F83" s="21">
        <f>SUM('X-高新:X-中天鸿锂'!F83)</f>
        <v>0</v>
      </c>
      <c r="G83" s="21">
        <f>SUM('X-高新:X-中天鸿锂'!G83)</f>
        <v>0</v>
      </c>
      <c r="H83" s="21">
        <f>SUM('X-高新:X-中天鸿锂'!H83)</f>
        <v>0</v>
      </c>
      <c r="I83" s="21">
        <f>SUM('X-高新:X-中天鸿锂'!I83)</f>
        <v>0</v>
      </c>
      <c r="J83" s="21">
        <f>SUM('X-高新:X-中天鸿锂'!J83)</f>
        <v>0</v>
      </c>
      <c r="K83" s="21">
        <f>SUM('X-高新:X-中天鸿锂'!K83)</f>
        <v>0</v>
      </c>
      <c r="L83" s="21">
        <f>SUM('X-高新:X-中天鸿锂'!L83)</f>
        <v>0</v>
      </c>
      <c r="M83" s="21">
        <f>SUM('X-高新:X-中天鸿锂'!M83)</f>
        <v>0</v>
      </c>
      <c r="N83" s="21">
        <f>SUM('X-高新:X-中天鸿锂'!N83)</f>
        <v>0</v>
      </c>
      <c r="O83" s="21">
        <f>SUM('X-高新:X-中天鸿锂'!O83)</f>
        <v>0</v>
      </c>
      <c r="P83" s="47">
        <f t="shared" si="1"/>
        <v>0</v>
      </c>
      <c r="R83" s="48"/>
      <c r="S83" s="283"/>
    </row>
    <row r="84" s="5" customFormat="1" ht="17.25" customHeight="1" spans="1:19">
      <c r="A84" s="224"/>
      <c r="B84" s="23"/>
      <c r="C84" s="25" t="s">
        <v>166</v>
      </c>
      <c r="D84" s="21">
        <f>SUM('X-高新:X-中天鸿锂'!D84)</f>
        <v>0</v>
      </c>
      <c r="E84" s="21">
        <f>SUM('X-高新:X-中天鸿锂'!E84)</f>
        <v>0</v>
      </c>
      <c r="F84" s="21">
        <f>SUM('X-高新:X-中天鸿锂'!F84)</f>
        <v>0</v>
      </c>
      <c r="G84" s="21">
        <f>SUM('X-高新:X-中天鸿锂'!G84)</f>
        <v>0</v>
      </c>
      <c r="H84" s="21">
        <f>SUM('X-高新:X-中天鸿锂'!H84)</f>
        <v>0</v>
      </c>
      <c r="I84" s="21">
        <f>SUM('X-高新:X-中天鸿锂'!I84)</f>
        <v>0</v>
      </c>
      <c r="J84" s="21">
        <f>SUM('X-高新:X-中天鸿锂'!J84)</f>
        <v>0</v>
      </c>
      <c r="K84" s="21">
        <f>SUM('X-高新:X-中天鸿锂'!K84)</f>
        <v>0</v>
      </c>
      <c r="L84" s="21">
        <f>SUM('X-高新:X-中天鸿锂'!L84)</f>
        <v>0</v>
      </c>
      <c r="M84" s="21">
        <f>SUM('X-高新:X-中天鸿锂'!M84)</f>
        <v>0</v>
      </c>
      <c r="N84" s="21">
        <f>SUM('X-高新:X-中天鸿锂'!N84)</f>
        <v>0</v>
      </c>
      <c r="O84" s="21">
        <f>SUM('X-高新:X-中天鸿锂'!O84)</f>
        <v>0</v>
      </c>
      <c r="P84" s="47">
        <f t="shared" si="1"/>
        <v>0</v>
      </c>
      <c r="R84" s="48"/>
      <c r="S84" s="283"/>
    </row>
    <row r="85" s="5" customFormat="1" ht="17.25" customHeight="1" spans="1:19">
      <c r="A85" s="225"/>
      <c r="B85" s="26" t="s">
        <v>167</v>
      </c>
      <c r="C85" s="207" t="s">
        <v>167</v>
      </c>
      <c r="D85" s="21">
        <f>SUM('X-高新:X-中天鸿锂'!D85)</f>
        <v>0</v>
      </c>
      <c r="E85" s="21">
        <f>SUM('X-高新:X-中天鸿锂'!E85)</f>
        <v>0</v>
      </c>
      <c r="F85" s="21">
        <f>SUM('X-高新:X-中天鸿锂'!F85)</f>
        <v>0</v>
      </c>
      <c r="G85" s="21">
        <f>SUM('X-高新:X-中天鸿锂'!G85)</f>
        <v>0</v>
      </c>
      <c r="H85" s="21">
        <f>SUM('X-高新:X-中天鸿锂'!H85)</f>
        <v>0</v>
      </c>
      <c r="I85" s="21">
        <f>SUM('X-高新:X-中天鸿锂'!I85)</f>
        <v>0</v>
      </c>
      <c r="J85" s="21">
        <f>SUM('X-高新:X-中天鸿锂'!J85)</f>
        <v>0</v>
      </c>
      <c r="K85" s="21">
        <f>SUM('X-高新:X-中天鸿锂'!K85)</f>
        <v>0</v>
      </c>
      <c r="L85" s="21">
        <f>SUM('X-高新:X-中天鸿锂'!L85)</f>
        <v>0</v>
      </c>
      <c r="M85" s="21">
        <f>SUM('X-高新:X-中天鸿锂'!M85)</f>
        <v>0</v>
      </c>
      <c r="N85" s="21">
        <f>SUM('X-高新:X-中天鸿锂'!N85)</f>
        <v>0</v>
      </c>
      <c r="O85" s="21">
        <f>SUM('X-高新:X-中天鸿锂'!O85)</f>
        <v>0</v>
      </c>
      <c r="P85" s="47">
        <f t="shared" si="1"/>
        <v>0</v>
      </c>
      <c r="R85" s="48"/>
      <c r="S85" s="283"/>
    </row>
    <row r="86" s="5" customFormat="1" ht="17.25" customHeight="1" spans="1:19">
      <c r="A86" s="226" t="s">
        <v>168</v>
      </c>
      <c r="B86" s="26" t="s">
        <v>169</v>
      </c>
      <c r="C86" s="207" t="s">
        <v>169</v>
      </c>
      <c r="D86" s="21">
        <f>SUM('X-高新:X-中天鸿锂'!D86)</f>
        <v>0</v>
      </c>
      <c r="E86" s="21">
        <f>SUM('X-高新:X-中天鸿锂'!E86)</f>
        <v>0</v>
      </c>
      <c r="F86" s="21">
        <f>SUM('X-高新:X-中天鸿锂'!F86)</f>
        <v>0</v>
      </c>
      <c r="G86" s="21">
        <f>SUM('X-高新:X-中天鸿锂'!G86)</f>
        <v>0</v>
      </c>
      <c r="H86" s="21">
        <f>SUM('X-高新:X-中天鸿锂'!H86)</f>
        <v>0</v>
      </c>
      <c r="I86" s="21">
        <f>SUM('X-高新:X-中天鸿锂'!I86)</f>
        <v>0</v>
      </c>
      <c r="J86" s="21">
        <f>SUM('X-高新:X-中天鸿锂'!J86)</f>
        <v>0</v>
      </c>
      <c r="K86" s="21">
        <f>SUM('X-高新:X-中天鸿锂'!K86)</f>
        <v>0</v>
      </c>
      <c r="L86" s="21">
        <f>SUM('X-高新:X-中天鸿锂'!L86)</f>
        <v>0</v>
      </c>
      <c r="M86" s="21">
        <f>SUM('X-高新:X-中天鸿锂'!M86)</f>
        <v>0</v>
      </c>
      <c r="N86" s="21">
        <f>SUM('X-高新:X-中天鸿锂'!N86)</f>
        <v>0</v>
      </c>
      <c r="O86" s="21">
        <f>SUM('X-高新:X-中天鸿锂'!O86)</f>
        <v>0</v>
      </c>
      <c r="P86" s="47">
        <f t="shared" si="1"/>
        <v>0</v>
      </c>
      <c r="R86" s="48"/>
      <c r="S86" s="283"/>
    </row>
    <row r="87" s="5" customFormat="1" ht="17.25" customHeight="1" spans="1:19">
      <c r="A87" s="227"/>
      <c r="B87" s="26" t="s">
        <v>170</v>
      </c>
      <c r="C87" s="207" t="s">
        <v>170</v>
      </c>
      <c r="D87" s="21">
        <f>SUM('X-高新:X-中天鸿锂'!D87)</f>
        <v>0</v>
      </c>
      <c r="E87" s="21">
        <f>SUM('X-高新:X-中天鸿锂'!E87)</f>
        <v>0</v>
      </c>
      <c r="F87" s="21">
        <f>SUM('X-高新:X-中天鸿锂'!F87)</f>
        <v>0</v>
      </c>
      <c r="G87" s="21">
        <f>SUM('X-高新:X-中天鸿锂'!G87)</f>
        <v>0</v>
      </c>
      <c r="H87" s="21">
        <f>SUM('X-高新:X-中天鸿锂'!H87)</f>
        <v>0</v>
      </c>
      <c r="I87" s="21">
        <f>SUM('X-高新:X-中天鸿锂'!I87)</f>
        <v>0</v>
      </c>
      <c r="J87" s="21">
        <f>SUM('X-高新:X-中天鸿锂'!J87)</f>
        <v>0</v>
      </c>
      <c r="K87" s="21">
        <f>SUM('X-高新:X-中天鸿锂'!K87)</f>
        <v>0</v>
      </c>
      <c r="L87" s="21">
        <f>SUM('X-高新:X-中天鸿锂'!L87)</f>
        <v>0</v>
      </c>
      <c r="M87" s="21">
        <f>SUM('X-高新:X-中天鸿锂'!M87)</f>
        <v>0</v>
      </c>
      <c r="N87" s="21">
        <f>SUM('X-高新:X-中天鸿锂'!N87)</f>
        <v>0</v>
      </c>
      <c r="O87" s="21">
        <f>SUM('X-高新:X-中天鸿锂'!O87)</f>
        <v>0</v>
      </c>
      <c r="P87" s="47">
        <f t="shared" si="1"/>
        <v>0</v>
      </c>
      <c r="R87" s="48"/>
      <c r="S87" s="283"/>
    </row>
    <row r="88" s="5" customFormat="1" ht="17.25" customHeight="1" spans="1:19">
      <c r="A88" s="227"/>
      <c r="B88" s="26" t="s">
        <v>171</v>
      </c>
      <c r="C88" s="207" t="s">
        <v>171</v>
      </c>
      <c r="D88" s="21">
        <f>SUM('X-高新:X-中天鸿锂'!D88)</f>
        <v>0</v>
      </c>
      <c r="E88" s="21">
        <f>SUM('X-高新:X-中天鸿锂'!E88)</f>
        <v>0</v>
      </c>
      <c r="F88" s="21">
        <f>SUM('X-高新:X-中天鸿锂'!F88)</f>
        <v>0</v>
      </c>
      <c r="G88" s="21">
        <f>SUM('X-高新:X-中天鸿锂'!G88)</f>
        <v>0</v>
      </c>
      <c r="H88" s="21">
        <f>SUM('X-高新:X-中天鸿锂'!H88)</f>
        <v>0</v>
      </c>
      <c r="I88" s="21">
        <f>SUM('X-高新:X-中天鸿锂'!I88)</f>
        <v>0</v>
      </c>
      <c r="J88" s="21">
        <f>SUM('X-高新:X-中天鸿锂'!J88)</f>
        <v>0</v>
      </c>
      <c r="K88" s="21">
        <f>SUM('X-高新:X-中天鸿锂'!K88)</f>
        <v>0</v>
      </c>
      <c r="L88" s="21">
        <f>SUM('X-高新:X-中天鸿锂'!L88)</f>
        <v>0</v>
      </c>
      <c r="M88" s="21">
        <f>SUM('X-高新:X-中天鸿锂'!M88)</f>
        <v>0</v>
      </c>
      <c r="N88" s="21">
        <f>SUM('X-高新:X-中天鸿锂'!N88)</f>
        <v>0</v>
      </c>
      <c r="O88" s="21">
        <f>SUM('X-高新:X-中天鸿锂'!O88)</f>
        <v>0</v>
      </c>
      <c r="P88" s="47">
        <f t="shared" si="1"/>
        <v>0</v>
      </c>
      <c r="R88" s="48"/>
      <c r="S88" s="283"/>
    </row>
    <row r="89" s="5" customFormat="1" ht="17.25" customHeight="1" spans="1:19">
      <c r="A89" s="228"/>
      <c r="B89" s="26" t="s">
        <v>172</v>
      </c>
      <c r="C89" s="207" t="s">
        <v>172</v>
      </c>
      <c r="D89" s="21">
        <f>SUM('X-高新:X-中天鸿锂'!D89)</f>
        <v>0</v>
      </c>
      <c r="E89" s="21">
        <f>SUM('X-高新:X-中天鸿锂'!E89)</f>
        <v>0</v>
      </c>
      <c r="F89" s="21">
        <f>SUM('X-高新:X-中天鸿锂'!F89)</f>
        <v>0</v>
      </c>
      <c r="G89" s="21">
        <f>SUM('X-高新:X-中天鸿锂'!G89)</f>
        <v>0</v>
      </c>
      <c r="H89" s="21">
        <f>SUM('X-高新:X-中天鸿锂'!H89)</f>
        <v>0</v>
      </c>
      <c r="I89" s="21">
        <f>SUM('X-高新:X-中天鸿锂'!I89)</f>
        <v>0</v>
      </c>
      <c r="J89" s="21">
        <f>SUM('X-高新:X-中天鸿锂'!J89)</f>
        <v>0</v>
      </c>
      <c r="K89" s="21">
        <f>SUM('X-高新:X-中天鸿锂'!K89)</f>
        <v>0</v>
      </c>
      <c r="L89" s="21">
        <f>SUM('X-高新:X-中天鸿锂'!L89)</f>
        <v>0</v>
      </c>
      <c r="M89" s="21">
        <f>SUM('X-高新:X-中天鸿锂'!M89)</f>
        <v>0</v>
      </c>
      <c r="N89" s="21">
        <f>SUM('X-高新:X-中天鸿锂'!N89)</f>
        <v>0</v>
      </c>
      <c r="O89" s="21">
        <f>SUM('X-高新:X-中天鸿锂'!O89)</f>
        <v>0</v>
      </c>
      <c r="P89" s="47">
        <f t="shared" si="1"/>
        <v>0</v>
      </c>
      <c r="R89" s="48"/>
      <c r="S89" s="283"/>
    </row>
    <row r="90" s="5" customFormat="1" ht="17.25" customHeight="1" spans="1:19">
      <c r="A90" s="229" t="s">
        <v>173</v>
      </c>
      <c r="B90" s="26" t="s">
        <v>174</v>
      </c>
      <c r="C90" s="207" t="s">
        <v>174</v>
      </c>
      <c r="D90" s="21">
        <f>SUM('X-高新:X-中天鸿锂'!D90)</f>
        <v>0</v>
      </c>
      <c r="E90" s="21">
        <f>SUM('X-高新:X-中天鸿锂'!E90)</f>
        <v>0</v>
      </c>
      <c r="F90" s="21">
        <f>SUM('X-高新:X-中天鸿锂'!F90)</f>
        <v>0</v>
      </c>
      <c r="G90" s="21">
        <f>SUM('X-高新:X-中天鸿锂'!G90)</f>
        <v>0</v>
      </c>
      <c r="H90" s="21">
        <f>SUM('X-高新:X-中天鸿锂'!H90)</f>
        <v>0</v>
      </c>
      <c r="I90" s="21">
        <f>SUM('X-高新:X-中天鸿锂'!I90)</f>
        <v>0</v>
      </c>
      <c r="J90" s="21">
        <f>SUM('X-高新:X-中天鸿锂'!J90)</f>
        <v>0</v>
      </c>
      <c r="K90" s="21">
        <f>SUM('X-高新:X-中天鸿锂'!K90)</f>
        <v>0</v>
      </c>
      <c r="L90" s="21">
        <f>SUM('X-高新:X-中天鸿锂'!L90)</f>
        <v>0</v>
      </c>
      <c r="M90" s="21">
        <f>SUM('X-高新:X-中天鸿锂'!M90)</f>
        <v>0</v>
      </c>
      <c r="N90" s="21">
        <f>SUM('X-高新:X-中天鸿锂'!N90)</f>
        <v>0</v>
      </c>
      <c r="O90" s="21">
        <f>SUM('X-高新:X-中天鸿锂'!O90)</f>
        <v>0</v>
      </c>
      <c r="P90" s="47">
        <f t="shared" si="1"/>
        <v>0</v>
      </c>
      <c r="R90" s="48"/>
      <c r="S90" s="283"/>
    </row>
    <row r="91" s="5" customFormat="1" ht="17.25" customHeight="1" spans="1:19">
      <c r="A91" s="230"/>
      <c r="B91" s="26" t="s">
        <v>175</v>
      </c>
      <c r="C91" s="207" t="s">
        <v>175</v>
      </c>
      <c r="D91" s="21">
        <f>SUM('X-高新:X-中天鸿锂'!D91)</f>
        <v>0</v>
      </c>
      <c r="E91" s="21">
        <f>SUM('X-高新:X-中天鸿锂'!E91)</f>
        <v>0</v>
      </c>
      <c r="F91" s="21">
        <f>SUM('X-高新:X-中天鸿锂'!F91)</f>
        <v>0</v>
      </c>
      <c r="G91" s="21">
        <f>SUM('X-高新:X-中天鸿锂'!G91)</f>
        <v>0</v>
      </c>
      <c r="H91" s="21">
        <f>SUM('X-高新:X-中天鸿锂'!H91)</f>
        <v>0</v>
      </c>
      <c r="I91" s="21">
        <f>SUM('X-高新:X-中天鸿锂'!I91)</f>
        <v>0</v>
      </c>
      <c r="J91" s="21">
        <f>SUM('X-高新:X-中天鸿锂'!J91)</f>
        <v>0</v>
      </c>
      <c r="K91" s="21">
        <f>SUM('X-高新:X-中天鸿锂'!K91)</f>
        <v>0</v>
      </c>
      <c r="L91" s="21">
        <f>SUM('X-高新:X-中天鸿锂'!L91)</f>
        <v>0</v>
      </c>
      <c r="M91" s="21">
        <f>SUM('X-高新:X-中天鸿锂'!M91)</f>
        <v>0</v>
      </c>
      <c r="N91" s="21">
        <f>SUM('X-高新:X-中天鸿锂'!N91)</f>
        <v>0</v>
      </c>
      <c r="O91" s="21">
        <f>SUM('X-高新:X-中天鸿锂'!O91)</f>
        <v>0</v>
      </c>
      <c r="P91" s="47">
        <f t="shared" si="1"/>
        <v>0</v>
      </c>
      <c r="R91" s="48"/>
      <c r="S91" s="283"/>
    </row>
    <row r="92" s="5" customFormat="1" ht="17.25" customHeight="1" spans="1:19">
      <c r="A92" s="231"/>
      <c r="B92" s="26" t="s">
        <v>83</v>
      </c>
      <c r="C92" s="207" t="s">
        <v>83</v>
      </c>
      <c r="D92" s="21">
        <f>SUM('X-高新:X-中天鸿锂'!D92)</f>
        <v>0</v>
      </c>
      <c r="E92" s="21">
        <f>SUM('X-高新:X-中天鸿锂'!E92)</f>
        <v>442.66</v>
      </c>
      <c r="F92" s="21">
        <f>SUM('X-高新:X-中天鸿锂'!F92)</f>
        <v>41029.15</v>
      </c>
      <c r="G92" s="21">
        <f>SUM('X-高新:X-中天鸿锂'!G92)</f>
        <v>4158.7</v>
      </c>
      <c r="H92" s="21">
        <f>SUM('X-高新:X-中天鸿锂'!H92)</f>
        <v>0</v>
      </c>
      <c r="I92" s="21">
        <f>SUM('X-高新:X-中天鸿锂'!I92)</f>
        <v>0</v>
      </c>
      <c r="J92" s="21">
        <f>SUM('X-高新:X-中天鸿锂'!J92)</f>
        <v>0</v>
      </c>
      <c r="K92" s="21">
        <f>SUM('X-高新:X-中天鸿锂'!K92)</f>
        <v>0</v>
      </c>
      <c r="L92" s="21">
        <f>SUM('X-高新:X-中天鸿锂'!L92)</f>
        <v>0</v>
      </c>
      <c r="M92" s="21">
        <f>SUM('X-高新:X-中天鸿锂'!M92)</f>
        <v>0</v>
      </c>
      <c r="N92" s="21">
        <f>SUM('X-高新:X-中天鸿锂'!N92)</f>
        <v>0</v>
      </c>
      <c r="O92" s="21">
        <f>SUM('X-高新:X-中天鸿锂'!O92)</f>
        <v>0</v>
      </c>
      <c r="P92" s="47">
        <f t="shared" si="1"/>
        <v>45630.51</v>
      </c>
      <c r="R92" s="48"/>
      <c r="S92" s="283"/>
    </row>
    <row r="93" s="7" customFormat="1" ht="15" customHeight="1" spans="1:19">
      <c r="A93" s="232" t="s">
        <v>12</v>
      </c>
      <c r="B93" s="233"/>
      <c r="C93" s="234"/>
      <c r="D93" s="58">
        <f>SUM(D6:D92)</f>
        <v>8270602.53</v>
      </c>
      <c r="E93" s="58">
        <f t="shared" ref="E93:O93" si="2">SUM(E6:E92)</f>
        <v>3162824.25</v>
      </c>
      <c r="F93" s="58">
        <f t="shared" si="2"/>
        <v>14859693.57</v>
      </c>
      <c r="G93" s="58">
        <f t="shared" si="2"/>
        <v>12561378.84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ref="P93" si="3">SUM(P6:P92)</f>
        <v>38854499.19</v>
      </c>
      <c r="R93" s="48"/>
      <c r="S93" s="283"/>
    </row>
    <row r="94" s="7" customFormat="1" ht="15" customHeight="1" spans="1:19">
      <c r="A94" s="252" t="s">
        <v>176</v>
      </c>
      <c r="B94" s="253"/>
      <c r="C94" s="254"/>
      <c r="D94" s="21">
        <f>SUM('X-高新:X-中天鸿锂'!D94)</f>
        <v>2538347.14</v>
      </c>
      <c r="E94" s="21">
        <f>SUM('X-高新:X-中天鸿锂'!E94)</f>
        <v>2409377.03</v>
      </c>
      <c r="F94" s="21">
        <f>SUM('X-高新:X-中天鸿锂'!F94)</f>
        <v>4519601.49</v>
      </c>
      <c r="G94" s="21">
        <f>SUM('X-高新:X-中天鸿锂'!G94)</f>
        <v>4011516.78</v>
      </c>
      <c r="H94" s="21">
        <f>SUM('X-高新:X-中天鸿锂'!H94)</f>
        <v>0</v>
      </c>
      <c r="I94" s="21">
        <f>SUM('X-高新:X-中天鸿锂'!I94)</f>
        <v>0</v>
      </c>
      <c r="J94" s="21">
        <f>SUM('X-高新:X-中天鸿锂'!J94)</f>
        <v>0</v>
      </c>
      <c r="K94" s="21">
        <f>SUM('X-高新:X-中天鸿锂'!K94)</f>
        <v>0</v>
      </c>
      <c r="L94" s="21">
        <f>SUM('X-高新:X-中天鸿锂'!L94)</f>
        <v>0</v>
      </c>
      <c r="M94" s="21">
        <f>SUM('X-高新:X-中天鸿锂'!M94)</f>
        <v>0</v>
      </c>
      <c r="N94" s="21">
        <f>SUM('X-高新:X-中天鸿锂'!N94)</f>
        <v>0</v>
      </c>
      <c r="O94" s="21">
        <f>SUM('X-高新:X-中天鸿锂'!O94)</f>
        <v>0</v>
      </c>
      <c r="P94" s="47">
        <f t="shared" ref="P94:P103" si="4">SUM(D94:O94)</f>
        <v>13478842.44</v>
      </c>
      <c r="R94" s="48"/>
      <c r="S94" s="283"/>
    </row>
    <row r="95" s="7" customFormat="1" ht="15" customHeight="1" spans="1:19">
      <c r="A95" s="252"/>
      <c r="B95" s="253"/>
      <c r="C95" s="254"/>
      <c r="D95" s="21">
        <f>SUM('X-高新:X-中天鸿锂'!D95)</f>
        <v>868858.7</v>
      </c>
      <c r="E95" s="21">
        <f>SUM('X-高新:X-中天鸿锂'!E95)</f>
        <v>1532589.86</v>
      </c>
      <c r="F95" s="21">
        <f>SUM('X-高新:X-中天鸿锂'!F95)</f>
        <v>2019482.94</v>
      </c>
      <c r="G95" s="21">
        <f>SUM('X-高新:X-中天鸿锂'!G95)</f>
        <v>1925206.71</v>
      </c>
      <c r="H95" s="21">
        <f>SUM('X-高新:X-中天鸿锂'!H95)</f>
        <v>0</v>
      </c>
      <c r="I95" s="21">
        <f>SUM('X-高新:X-中天鸿锂'!I95)</f>
        <v>0</v>
      </c>
      <c r="J95" s="21">
        <f>SUM('X-高新:X-中天鸿锂'!J95)</f>
        <v>0</v>
      </c>
      <c r="K95" s="21">
        <f>SUM('X-高新:X-中天鸿锂'!K95)</f>
        <v>0</v>
      </c>
      <c r="L95" s="21">
        <f>SUM('X-高新:X-中天鸿锂'!L95)</f>
        <v>0</v>
      </c>
      <c r="M95" s="21">
        <f>SUM('X-高新:X-中天鸿锂'!M95)</f>
        <v>0</v>
      </c>
      <c r="N95" s="21">
        <f>SUM('X-高新:X-中天鸿锂'!N95)</f>
        <v>0</v>
      </c>
      <c r="O95" s="21">
        <f>SUM('X-高新:X-中天鸿锂'!O95)</f>
        <v>0</v>
      </c>
      <c r="P95" s="47">
        <f t="shared" si="4"/>
        <v>6346138.21</v>
      </c>
      <c r="R95" s="48"/>
      <c r="S95" s="283"/>
    </row>
    <row r="96" s="7" customFormat="1" ht="15" customHeight="1" spans="1:19">
      <c r="A96" s="252" t="s">
        <v>177</v>
      </c>
      <c r="B96" s="253"/>
      <c r="C96" s="254"/>
      <c r="D96" s="21">
        <f>SUM('X-高新:X-中天鸿锂'!D96)</f>
        <v>-358.22</v>
      </c>
      <c r="E96" s="21">
        <f>SUM('X-高新:X-中天鸿锂'!E96)</f>
        <v>261833.93</v>
      </c>
      <c r="F96" s="21">
        <f>SUM('X-高新:X-中天鸿锂'!F96)</f>
        <v>81473.49</v>
      </c>
      <c r="G96" s="21">
        <f>SUM('X-高新:X-中天鸿锂'!G96)</f>
        <v>59301.73</v>
      </c>
      <c r="H96" s="21">
        <f>SUM('X-高新:X-中天鸿锂'!H96)</f>
        <v>0</v>
      </c>
      <c r="I96" s="21">
        <f>SUM('X-高新:X-中天鸿锂'!I96)</f>
        <v>0</v>
      </c>
      <c r="J96" s="21">
        <f>SUM('X-高新:X-中天鸿锂'!J96)</f>
        <v>0</v>
      </c>
      <c r="K96" s="21">
        <f>SUM('X-高新:X-中天鸿锂'!K96)</f>
        <v>0</v>
      </c>
      <c r="L96" s="21">
        <f>SUM('X-高新:X-中天鸿锂'!L96)</f>
        <v>0</v>
      </c>
      <c r="M96" s="21">
        <f>SUM('X-高新:X-中天鸿锂'!M96)</f>
        <v>0</v>
      </c>
      <c r="N96" s="21">
        <f>SUM('X-高新:X-中天鸿锂'!N96)</f>
        <v>0</v>
      </c>
      <c r="O96" s="21">
        <f>SUM('X-高新:X-中天鸿锂'!O96)</f>
        <v>0</v>
      </c>
      <c r="P96" s="47">
        <f t="shared" si="4"/>
        <v>402250.93</v>
      </c>
      <c r="R96" s="48"/>
      <c r="S96" s="283"/>
    </row>
    <row r="97" s="7" customFormat="1" ht="15" customHeight="1" spans="1:19">
      <c r="A97" s="252"/>
      <c r="B97" s="253"/>
      <c r="C97" s="254"/>
      <c r="D97" s="21">
        <f>SUM('X-高新:X-中天鸿锂'!D97)</f>
        <v>563.17</v>
      </c>
      <c r="E97" s="21">
        <f>SUM('X-高新:X-中天鸿锂'!E97)</f>
        <v>82515.23</v>
      </c>
      <c r="F97" s="21">
        <f>SUM('X-高新:X-中天鸿锂'!F97)</f>
        <v>81473.49</v>
      </c>
      <c r="G97" s="21">
        <f>SUM('X-高新:X-中天鸿锂'!G97)</f>
        <v>59301.73</v>
      </c>
      <c r="H97" s="21">
        <f>SUM('X-高新:X-中天鸿锂'!H97)</f>
        <v>0</v>
      </c>
      <c r="I97" s="21">
        <f>SUM('X-高新:X-中天鸿锂'!I97)</f>
        <v>0</v>
      </c>
      <c r="J97" s="21">
        <f>SUM('X-高新:X-中天鸿锂'!J97)</f>
        <v>0</v>
      </c>
      <c r="K97" s="21">
        <f>SUM('X-高新:X-中天鸿锂'!K97)</f>
        <v>0</v>
      </c>
      <c r="L97" s="21">
        <f>SUM('X-高新:X-中天鸿锂'!L97)</f>
        <v>0</v>
      </c>
      <c r="M97" s="21">
        <f>SUM('X-高新:X-中天鸿锂'!M97)</f>
        <v>0</v>
      </c>
      <c r="N97" s="21">
        <f>SUM('X-高新:X-中天鸿锂'!N97)</f>
        <v>0</v>
      </c>
      <c r="O97" s="21">
        <f>SUM('X-高新:X-中天鸿锂'!O97)</f>
        <v>0</v>
      </c>
      <c r="P97" s="47">
        <f t="shared" si="4"/>
        <v>223853.62</v>
      </c>
      <c r="R97" s="48"/>
      <c r="S97" s="283"/>
    </row>
    <row r="98" s="280" customFormat="1" ht="15" customHeight="1" spans="1:19">
      <c r="A98" s="286" t="s">
        <v>178</v>
      </c>
      <c r="B98" s="287"/>
      <c r="C98" s="288"/>
      <c r="D98" s="170">
        <f>SUM('X-高新:X-中天鸿锂'!D98)</f>
        <v>5466382</v>
      </c>
      <c r="E98" s="170">
        <f>SUM('X-高新:X-中天鸿锂'!E98)-1086324.63</f>
        <v>326481.67</v>
      </c>
      <c r="F98" s="170">
        <f>SUM('X-高新:X-中天鸿锂'!F98)-'X-宁德'!F58</f>
        <v>10102733.39</v>
      </c>
      <c r="G98" s="170">
        <f>SUM('X-高新:X-中天鸿锂'!G98)-'X-宁德'!G58</f>
        <v>8208864.22</v>
      </c>
      <c r="H98" s="170">
        <f>SUM('X-高新:X-中天鸿锂'!H98)-'X-宁德'!H58</f>
        <v>0</v>
      </c>
      <c r="I98" s="170">
        <f>SUM('X-高新:X-中天鸿锂'!I98)-'X-宁德'!I58</f>
        <v>0</v>
      </c>
      <c r="J98" s="170">
        <f>SUM('X-高新:X-中天鸿锂'!J98)-'X-宁德'!J58</f>
        <v>0</v>
      </c>
      <c r="K98" s="170">
        <f>SUM('X-高新:X-中天鸿锂'!K98)-'X-宁德'!K58</f>
        <v>0</v>
      </c>
      <c r="L98" s="170">
        <f>SUM('X-高新:X-中天鸿锂'!L98)-'X-宁德'!L58</f>
        <v>0</v>
      </c>
      <c r="M98" s="170">
        <f>SUM('X-高新:X-中天鸿锂'!M98)-'X-宁德'!M58</f>
        <v>0</v>
      </c>
      <c r="N98" s="170">
        <f>SUM('X-高新:X-中天鸿锂'!N98)-'X-宁德'!N58</f>
        <v>0</v>
      </c>
      <c r="O98" s="170">
        <f>SUM('X-高新:X-中天鸿锂'!O98)-'X-宁德'!O58</f>
        <v>0</v>
      </c>
      <c r="P98" s="180">
        <f t="shared" si="4"/>
        <v>24104461.28</v>
      </c>
      <c r="R98" s="284"/>
      <c r="S98" s="285"/>
    </row>
    <row r="99" s="7" customFormat="1" ht="15" customHeight="1" spans="1:19">
      <c r="A99" s="252"/>
      <c r="B99" s="253"/>
      <c r="C99" s="254"/>
      <c r="D99" s="21">
        <f>SUM('X-高新:X-中天鸿锂'!D99)</f>
        <v>2325885.03</v>
      </c>
      <c r="E99" s="21">
        <f>SUM('X-高新:X-中天鸿锂'!E99)</f>
        <v>1609550.56</v>
      </c>
      <c r="F99" s="21">
        <f>SUM('X-高新:X-中天鸿锂'!F99)</f>
        <v>4714005.06</v>
      </c>
      <c r="G99" s="21">
        <f>SUM('X-高新:X-中天鸿锂'!G99)</f>
        <v>5524868.55</v>
      </c>
      <c r="H99" s="21">
        <f>SUM('X-高新:X-中天鸿锂'!H99)</f>
        <v>0</v>
      </c>
      <c r="I99" s="21">
        <f>SUM('X-高新:X-中天鸿锂'!I99)</f>
        <v>0</v>
      </c>
      <c r="J99" s="21">
        <f>SUM('X-高新:X-中天鸿锂'!J99)</f>
        <v>0</v>
      </c>
      <c r="K99" s="21">
        <f>SUM('X-高新:X-中天鸿锂'!K99)</f>
        <v>0</v>
      </c>
      <c r="L99" s="21">
        <f>SUM('X-高新:X-中天鸿锂'!L99)</f>
        <v>0</v>
      </c>
      <c r="M99" s="21">
        <f>SUM('X-高新:X-中天鸿锂'!M99)</f>
        <v>0</v>
      </c>
      <c r="N99" s="21">
        <f>SUM('X-高新:X-中天鸿锂'!N99)</f>
        <v>0</v>
      </c>
      <c r="O99" s="21">
        <f>SUM('X-高新:X-中天鸿锂'!O99)</f>
        <v>0</v>
      </c>
      <c r="P99" s="47">
        <f t="shared" si="4"/>
        <v>14174309.2</v>
      </c>
      <c r="R99" s="48"/>
      <c r="S99" s="283"/>
    </row>
    <row r="100" s="7" customFormat="1" ht="15" customHeight="1" spans="1:19">
      <c r="A100" s="252" t="s">
        <v>179</v>
      </c>
      <c r="B100" s="253"/>
      <c r="C100" s="254"/>
      <c r="D100" s="21">
        <f>SUM('X-高新:X-中天鸿锂'!D100)</f>
        <v>-32853.21</v>
      </c>
      <c r="E100" s="21">
        <f>SUM('X-高新:X-中天鸿锂'!E100)</f>
        <v>-9742.09</v>
      </c>
      <c r="F100" s="21">
        <f>SUM('X-高新:X-中天鸿锂'!F100)</f>
        <v>-894</v>
      </c>
      <c r="G100" s="21">
        <f>SUM('X-高新:X-中天鸿锂'!G100)</f>
        <v>1145.85</v>
      </c>
      <c r="H100" s="21">
        <f>SUM('X-高新:X-中天鸿锂'!H100)</f>
        <v>0</v>
      </c>
      <c r="I100" s="21">
        <f>SUM('X-高新:X-中天鸿锂'!I100)</f>
        <v>0</v>
      </c>
      <c r="J100" s="21">
        <f>SUM('X-高新:X-中天鸿锂'!J100)</f>
        <v>0</v>
      </c>
      <c r="K100" s="21">
        <f>SUM('X-高新:X-中天鸿锂'!K100)</f>
        <v>0</v>
      </c>
      <c r="L100" s="21">
        <f>SUM('X-高新:X-中天鸿锂'!L100)</f>
        <v>0</v>
      </c>
      <c r="M100" s="21">
        <f>SUM('X-高新:X-中天鸿锂'!M100)</f>
        <v>0</v>
      </c>
      <c r="N100" s="21">
        <f>SUM('X-高新:X-中天鸿锂'!N100)</f>
        <v>0</v>
      </c>
      <c r="O100" s="21">
        <f>SUM('X-高新:X-中天鸿锂'!O100)</f>
        <v>0</v>
      </c>
      <c r="P100" s="47">
        <f t="shared" si="4"/>
        <v>-42343.45</v>
      </c>
      <c r="R100" s="48"/>
      <c r="S100" s="283"/>
    </row>
    <row r="101" s="7" customFormat="1" ht="15" customHeight="1" spans="1:19">
      <c r="A101" s="252"/>
      <c r="B101" s="253"/>
      <c r="C101" s="254"/>
      <c r="D101" s="21">
        <f>SUM('X-高新:X-中天鸿锂'!D101)</f>
        <v>16085.4</v>
      </c>
      <c r="E101" s="21">
        <f>SUM('X-高新:X-中天鸿锂'!E101)</f>
        <v>5000</v>
      </c>
      <c r="F101" s="21">
        <f>SUM('X-高新:X-中天鸿锂'!F101)</f>
        <v>0</v>
      </c>
      <c r="G101" s="21">
        <f>SUM('X-高新:X-中天鸿锂'!G101)</f>
        <v>0</v>
      </c>
      <c r="H101" s="21">
        <f>SUM('X-高新:X-中天鸿锂'!H101)</f>
        <v>0</v>
      </c>
      <c r="I101" s="21">
        <f>SUM('X-高新:X-中天鸿锂'!I101)</f>
        <v>0</v>
      </c>
      <c r="J101" s="21">
        <f>SUM('X-高新:X-中天鸿锂'!J101)</f>
        <v>0</v>
      </c>
      <c r="K101" s="21">
        <f>SUM('X-高新:X-中天鸿锂'!K101)</f>
        <v>0</v>
      </c>
      <c r="L101" s="21">
        <f>SUM('X-高新:X-中天鸿锂'!L101)</f>
        <v>0</v>
      </c>
      <c r="M101" s="21">
        <f>SUM('X-高新:X-中天鸿锂'!M101)</f>
        <v>0</v>
      </c>
      <c r="N101" s="21">
        <f>SUM('X-高新:X-中天鸿锂'!N101)</f>
        <v>0</v>
      </c>
      <c r="O101" s="21">
        <f>SUM('X-高新:X-中天鸿锂'!O101)</f>
        <v>0</v>
      </c>
      <c r="P101" s="47">
        <f t="shared" si="4"/>
        <v>21085.4</v>
      </c>
      <c r="R101" s="48"/>
      <c r="S101" s="283"/>
    </row>
    <row r="102" s="7" customFormat="1" ht="15" customHeight="1" spans="1:19">
      <c r="A102" s="252" t="s">
        <v>180</v>
      </c>
      <c r="B102" s="253"/>
      <c r="C102" s="254"/>
      <c r="D102" s="21">
        <f>SUM('X-高新:X-中天鸿锂'!D102)</f>
        <v>299084.82</v>
      </c>
      <c r="E102" s="21">
        <f>SUM('X-高新:X-中天鸿锂'!E102)</f>
        <v>174873.71</v>
      </c>
      <c r="F102" s="21">
        <f>SUM('X-高新:X-中天鸿锂'!F102)</f>
        <v>156779.2</v>
      </c>
      <c r="G102" s="21">
        <f>SUM('X-高新:X-中天鸿锂'!G102)</f>
        <v>280550.26</v>
      </c>
      <c r="H102" s="21">
        <f>SUM('X-高新:X-中天鸿锂'!H102)</f>
        <v>0</v>
      </c>
      <c r="I102" s="21">
        <f>SUM('X-高新:X-中天鸿锂'!I102)</f>
        <v>0</v>
      </c>
      <c r="J102" s="21">
        <f>SUM('X-高新:X-中天鸿锂'!J102)</f>
        <v>0</v>
      </c>
      <c r="K102" s="21">
        <f>SUM('X-高新:X-中天鸿锂'!K102)</f>
        <v>0</v>
      </c>
      <c r="L102" s="21">
        <f>SUM('X-高新:X-中天鸿锂'!L102)</f>
        <v>0</v>
      </c>
      <c r="M102" s="21">
        <f>SUM('X-高新:X-中天鸿锂'!M102)</f>
        <v>0</v>
      </c>
      <c r="N102" s="21">
        <f>SUM('X-高新:X-中天鸿锂'!N102)</f>
        <v>0</v>
      </c>
      <c r="O102" s="21">
        <f>SUM('X-高新:X-中天鸿锂'!O102)</f>
        <v>0</v>
      </c>
      <c r="P102" s="47">
        <f t="shared" si="4"/>
        <v>911287.99</v>
      </c>
      <c r="R102" s="48"/>
      <c r="S102" s="283"/>
    </row>
    <row r="103" s="7" customFormat="1" ht="15" customHeight="1" spans="1:19">
      <c r="A103" s="252"/>
      <c r="B103" s="253"/>
      <c r="C103" s="254"/>
      <c r="D103" s="21">
        <f>SUM('X-高新:X-中天鸿锂'!D103)</f>
        <v>47548.99</v>
      </c>
      <c r="E103" s="21">
        <f>SUM('X-高新:X-中天鸿锂'!E103)</f>
        <v>1.81898940354586e-12</v>
      </c>
      <c r="F103" s="21">
        <f>SUM('X-高新:X-中天鸿锂'!F103)</f>
        <v>-1.81898940354586e-11</v>
      </c>
      <c r="G103" s="21">
        <f>SUM('X-高新:X-中天鸿锂'!G103)</f>
        <v>0</v>
      </c>
      <c r="H103" s="21">
        <f>SUM('X-高新:X-中天鸿锂'!H103)</f>
        <v>0</v>
      </c>
      <c r="I103" s="21">
        <f>SUM('X-高新:X-中天鸿锂'!I103)</f>
        <v>0</v>
      </c>
      <c r="J103" s="21">
        <f>SUM('X-高新:X-中天鸿锂'!J103)</f>
        <v>0</v>
      </c>
      <c r="K103" s="21">
        <f>SUM('X-高新:X-中天鸿锂'!K103)</f>
        <v>0</v>
      </c>
      <c r="L103" s="21">
        <f>SUM('X-高新:X-中天鸿锂'!L103)</f>
        <v>0</v>
      </c>
      <c r="M103" s="21">
        <f>SUM('X-高新:X-中天鸿锂'!M103)</f>
        <v>0</v>
      </c>
      <c r="N103" s="21">
        <f>SUM('X-高新:X-中天鸿锂'!N103)</f>
        <v>0</v>
      </c>
      <c r="O103" s="21">
        <f>SUM('X-高新:X-中天鸿锂'!O103)</f>
        <v>0</v>
      </c>
      <c r="P103" s="47">
        <f t="shared" si="4"/>
        <v>47548.99</v>
      </c>
      <c r="R103" s="48"/>
      <c r="S103" s="283"/>
    </row>
    <row r="104" s="6" customFormat="1" ht="12" spans="4:16"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</row>
    <row r="105" spans="7:16">
      <c r="G105" s="68"/>
      <c r="P105" s="68"/>
    </row>
    <row r="106" spans="4:16">
      <c r="D106" s="68">
        <f>D93-D94-D96-D98-D100-D102</f>
        <v>2.15368345379829e-9</v>
      </c>
      <c r="E106" s="68">
        <f t="shared" ref="E106:P106" si="5">E93-E94-E96-E98-E100-E102</f>
        <v>2.91038304567337e-10</v>
      </c>
      <c r="F106" s="68">
        <f t="shared" si="5"/>
        <v>-7.56699591875076e-10</v>
      </c>
      <c r="G106" s="68">
        <f t="shared" si="5"/>
        <v>-5.23868948221207e-10</v>
      </c>
      <c r="H106" s="68">
        <f t="shared" si="5"/>
        <v>0</v>
      </c>
      <c r="I106" s="68">
        <f t="shared" si="5"/>
        <v>0</v>
      </c>
      <c r="J106" s="68">
        <f t="shared" si="5"/>
        <v>0</v>
      </c>
      <c r="K106" s="68">
        <f t="shared" si="5"/>
        <v>0</v>
      </c>
      <c r="L106" s="68">
        <f t="shared" si="5"/>
        <v>0</v>
      </c>
      <c r="M106" s="68">
        <f t="shared" si="5"/>
        <v>0</v>
      </c>
      <c r="N106" s="68">
        <f t="shared" si="5"/>
        <v>0</v>
      </c>
      <c r="O106" s="68">
        <f t="shared" si="5"/>
        <v>0</v>
      </c>
      <c r="P106" s="68">
        <f t="shared" si="5"/>
        <v>-9.31322574615479e-10</v>
      </c>
    </row>
    <row r="107" spans="4:16">
      <c r="D107" s="68">
        <f>D95+D97+D99+D101+D103-D68-D69</f>
        <v>0</v>
      </c>
      <c r="E107" s="68">
        <f t="shared" ref="E107:P107" si="6">E95+E97+E99+E101+E103-E68-E69</f>
        <v>0</v>
      </c>
      <c r="F107" s="68">
        <f t="shared" si="6"/>
        <v>0</v>
      </c>
      <c r="G107" s="68">
        <f t="shared" si="6"/>
        <v>0</v>
      </c>
      <c r="H107" s="68">
        <f t="shared" si="6"/>
        <v>0</v>
      </c>
      <c r="I107" s="68">
        <f t="shared" si="6"/>
        <v>0</v>
      </c>
      <c r="J107" s="68">
        <f t="shared" si="6"/>
        <v>0</v>
      </c>
      <c r="K107" s="68">
        <f t="shared" si="6"/>
        <v>0</v>
      </c>
      <c r="L107" s="68">
        <f t="shared" si="6"/>
        <v>0</v>
      </c>
      <c r="M107" s="68">
        <f t="shared" si="6"/>
        <v>0</v>
      </c>
      <c r="N107" s="68">
        <f t="shared" si="6"/>
        <v>0</v>
      </c>
      <c r="O107" s="68">
        <f t="shared" si="6"/>
        <v>0</v>
      </c>
      <c r="P107" s="68">
        <f t="shared" si="6"/>
        <v>0</v>
      </c>
    </row>
    <row r="108" s="6" customFormat="1" ht="12" spans="4:16">
      <c r="D108" s="241"/>
      <c r="M108" s="157"/>
      <c r="P108" s="157">
        <f>P107-P93</f>
        <v>-38854499.19</v>
      </c>
    </row>
    <row r="109" spans="3:16">
      <c r="C109" s="104" t="s">
        <v>11</v>
      </c>
      <c r="D109" s="104" t="s">
        <v>279</v>
      </c>
      <c r="E109" s="290" t="s">
        <v>280</v>
      </c>
      <c r="F109" s="290" t="s">
        <v>281</v>
      </c>
      <c r="G109" s="104" t="s">
        <v>211</v>
      </c>
      <c r="H109" s="104" t="s">
        <v>282</v>
      </c>
      <c r="I109" s="104" t="s">
        <v>283</v>
      </c>
      <c r="J109" s="104" t="s">
        <v>284</v>
      </c>
      <c r="K109" s="104" t="s">
        <v>285</v>
      </c>
      <c r="L109" s="104" t="s">
        <v>286</v>
      </c>
      <c r="M109" s="104" t="s">
        <v>287</v>
      </c>
      <c r="N109" s="104" t="s">
        <v>288</v>
      </c>
      <c r="O109" s="104" t="s">
        <v>289</v>
      </c>
      <c r="P109" s="104" t="s">
        <v>12</v>
      </c>
    </row>
    <row r="110" hidden="1" spans="3:16">
      <c r="C110" s="104"/>
      <c r="D110" s="105" t="s">
        <v>46</v>
      </c>
      <c r="E110" s="105" t="s">
        <v>47</v>
      </c>
      <c r="F110" s="105" t="s">
        <v>48</v>
      </c>
      <c r="G110" s="105" t="s">
        <v>49</v>
      </c>
      <c r="H110" s="105" t="s">
        <v>50</v>
      </c>
      <c r="I110" s="105" t="s">
        <v>51</v>
      </c>
      <c r="J110" s="105" t="s">
        <v>52</v>
      </c>
      <c r="K110" s="105" t="s">
        <v>53</v>
      </c>
      <c r="L110" s="105" t="s">
        <v>54</v>
      </c>
      <c r="M110" s="105" t="s">
        <v>55</v>
      </c>
      <c r="N110" s="105" t="s">
        <v>56</v>
      </c>
      <c r="O110" s="105" t="s">
        <v>57</v>
      </c>
      <c r="P110" s="292"/>
    </row>
    <row r="111" ht="15" spans="2:16">
      <c r="B111" s="291"/>
      <c r="C111" t="s">
        <v>290</v>
      </c>
      <c r="D111" s="107">
        <f ca="1">IFERROR(INDIRECT("'"&amp;$C111&amp;"'"&amp;"!"&amp;D$110&amp;"93"),"")</f>
        <v>3672164.72</v>
      </c>
      <c r="E111" s="107">
        <f ca="1" t="shared" ref="E111:O111" si="7">IFERROR(INDIRECT("'"&amp;$C111&amp;"'"&amp;"!"&amp;E$110&amp;"93"),"")</f>
        <v>2458037.83</v>
      </c>
      <c r="F111" s="107">
        <f ca="1" t="shared" si="7"/>
        <v>9520677.43</v>
      </c>
      <c r="G111" s="107">
        <f ca="1" t="shared" si="7"/>
        <v>7179390.63</v>
      </c>
      <c r="H111" s="107">
        <f ca="1" t="shared" si="7"/>
        <v>0</v>
      </c>
      <c r="I111" s="107">
        <f ca="1" t="shared" si="7"/>
        <v>0</v>
      </c>
      <c r="J111" s="107">
        <f ca="1" t="shared" si="7"/>
        <v>0</v>
      </c>
      <c r="K111" s="107">
        <f ca="1" t="shared" si="7"/>
        <v>0</v>
      </c>
      <c r="L111" s="107">
        <f ca="1" t="shared" si="7"/>
        <v>0</v>
      </c>
      <c r="M111" s="107">
        <f ca="1" t="shared" si="7"/>
        <v>0</v>
      </c>
      <c r="N111" s="107">
        <f ca="1" t="shared" si="7"/>
        <v>0</v>
      </c>
      <c r="O111" s="107">
        <f ca="1" t="shared" si="7"/>
        <v>0</v>
      </c>
      <c r="P111" s="113">
        <f ca="1" t="shared" ref="P111:P129" si="8">SUM(D111:O111)</f>
        <v>22830270.61</v>
      </c>
    </row>
    <row r="112" ht="15" spans="2:16">
      <c r="B112" s="291"/>
      <c r="C112" s="106" t="s">
        <v>291</v>
      </c>
      <c r="D112" s="107">
        <f ca="1" t="shared" ref="D112:O127" si="9">IFERROR(INDIRECT("'"&amp;$C112&amp;"'"&amp;"!"&amp;D$110&amp;"93"),"")</f>
        <v>-32853.21</v>
      </c>
      <c r="E112" s="107">
        <f ca="1" t="shared" si="9"/>
        <v>-9742.09</v>
      </c>
      <c r="F112" s="107">
        <f ca="1" t="shared" si="9"/>
        <v>-894</v>
      </c>
      <c r="G112" s="107">
        <f ca="1" t="shared" si="9"/>
        <v>1145.85</v>
      </c>
      <c r="H112" s="107">
        <f ca="1" t="shared" si="9"/>
        <v>0</v>
      </c>
      <c r="I112" s="107">
        <f ca="1" t="shared" si="9"/>
        <v>0</v>
      </c>
      <c r="J112" s="107">
        <f ca="1" t="shared" si="9"/>
        <v>0</v>
      </c>
      <c r="K112" s="107">
        <f ca="1" t="shared" si="9"/>
        <v>0</v>
      </c>
      <c r="L112" s="107">
        <f ca="1" t="shared" si="9"/>
        <v>0</v>
      </c>
      <c r="M112" s="107">
        <f ca="1" t="shared" si="9"/>
        <v>0</v>
      </c>
      <c r="N112" s="107">
        <f ca="1" t="shared" si="9"/>
        <v>0</v>
      </c>
      <c r="O112" s="107">
        <f ca="1" t="shared" si="9"/>
        <v>0</v>
      </c>
      <c r="P112" s="113">
        <f ca="1" t="shared" si="8"/>
        <v>-42343.45</v>
      </c>
    </row>
    <row r="113" ht="15" spans="2:16">
      <c r="B113" s="68"/>
      <c r="C113" s="106" t="s">
        <v>292</v>
      </c>
      <c r="D113" s="107">
        <f ca="1" t="shared" si="9"/>
        <v>-358.22</v>
      </c>
      <c r="E113" s="107">
        <f ca="1" t="shared" si="9"/>
        <v>261833.93</v>
      </c>
      <c r="F113" s="107">
        <f ca="1" t="shared" si="9"/>
        <v>81473.49</v>
      </c>
      <c r="G113" s="107">
        <f ca="1" t="shared" si="9"/>
        <v>59301.73</v>
      </c>
      <c r="H113" s="107">
        <f ca="1" t="shared" si="9"/>
        <v>0</v>
      </c>
      <c r="I113" s="107">
        <f ca="1" t="shared" si="9"/>
        <v>0</v>
      </c>
      <c r="J113" s="107">
        <f ca="1" t="shared" si="9"/>
        <v>0</v>
      </c>
      <c r="K113" s="107">
        <f ca="1" t="shared" si="9"/>
        <v>0</v>
      </c>
      <c r="L113" s="107">
        <f ca="1" t="shared" si="9"/>
        <v>0</v>
      </c>
      <c r="M113" s="107">
        <f ca="1" t="shared" si="9"/>
        <v>0</v>
      </c>
      <c r="N113" s="107">
        <f ca="1" t="shared" si="9"/>
        <v>0</v>
      </c>
      <c r="O113" s="107">
        <f ca="1" t="shared" si="9"/>
        <v>0</v>
      </c>
      <c r="P113" s="113">
        <f ca="1" t="shared" si="8"/>
        <v>402250.93</v>
      </c>
    </row>
    <row r="114" ht="15" spans="2:16">
      <c r="B114" s="68"/>
      <c r="C114" s="106" t="s">
        <v>293</v>
      </c>
      <c r="D114" s="107">
        <f ca="1" t="shared" si="9"/>
        <v>877171.87</v>
      </c>
      <c r="E114" s="107">
        <f ca="1" t="shared" si="9"/>
        <v>1171670.01</v>
      </c>
      <c r="F114" s="107">
        <f ca="1" t="shared" si="9"/>
        <v>2379457.19</v>
      </c>
      <c r="G114" s="107">
        <f ca="1" t="shared" si="9"/>
        <v>1811837.44</v>
      </c>
      <c r="H114" s="107">
        <f ca="1" t="shared" si="9"/>
        <v>0</v>
      </c>
      <c r="I114" s="107">
        <f ca="1" t="shared" si="9"/>
        <v>0</v>
      </c>
      <c r="J114" s="107">
        <f ca="1" t="shared" si="9"/>
        <v>0</v>
      </c>
      <c r="K114" s="107">
        <f ca="1" t="shared" si="9"/>
        <v>0</v>
      </c>
      <c r="L114" s="107">
        <f ca="1" t="shared" si="9"/>
        <v>0</v>
      </c>
      <c r="M114" s="107">
        <f ca="1" t="shared" si="9"/>
        <v>0</v>
      </c>
      <c r="N114" s="107">
        <f ca="1" t="shared" si="9"/>
        <v>0</v>
      </c>
      <c r="O114" s="107">
        <f ca="1" t="shared" si="9"/>
        <v>0</v>
      </c>
      <c r="P114" s="113">
        <f ca="1" t="shared" si="8"/>
        <v>6240136.51</v>
      </c>
    </row>
    <row r="115" ht="15" spans="2:16">
      <c r="B115" s="68"/>
      <c r="C115" s="106" t="s">
        <v>294</v>
      </c>
      <c r="D115" s="107">
        <f ca="1" t="shared" si="9"/>
        <v>77015.46</v>
      </c>
      <c r="E115" s="107">
        <f ca="1" t="shared" si="9"/>
        <v>-68933.14</v>
      </c>
      <c r="F115" s="107">
        <f ca="1" t="shared" si="9"/>
        <v>5572.82</v>
      </c>
      <c r="G115" s="107">
        <f ca="1" t="shared" si="9"/>
        <v>6023.85</v>
      </c>
      <c r="H115" s="107">
        <f ca="1" t="shared" si="9"/>
        <v>0</v>
      </c>
      <c r="I115" s="107">
        <f ca="1" t="shared" si="9"/>
        <v>0</v>
      </c>
      <c r="J115" s="107">
        <f ca="1" t="shared" si="9"/>
        <v>0</v>
      </c>
      <c r="K115" s="107">
        <f ca="1" t="shared" si="9"/>
        <v>0</v>
      </c>
      <c r="L115" s="107">
        <f ca="1" t="shared" si="9"/>
        <v>0</v>
      </c>
      <c r="M115" s="107">
        <f ca="1" t="shared" si="9"/>
        <v>0</v>
      </c>
      <c r="N115" s="107">
        <f ca="1" t="shared" si="9"/>
        <v>0</v>
      </c>
      <c r="O115" s="107">
        <f ca="1" t="shared" si="9"/>
        <v>0</v>
      </c>
      <c r="P115" s="113">
        <f ca="1" t="shared" si="8"/>
        <v>19678.99</v>
      </c>
    </row>
    <row r="116" ht="15" spans="3:16">
      <c r="C116" s="106" t="s">
        <v>295</v>
      </c>
      <c r="D116" s="107">
        <f ca="1" t="shared" si="9"/>
        <v>5839.18</v>
      </c>
      <c r="E116" s="107">
        <f ca="1" t="shared" si="9"/>
        <v>7857.21</v>
      </c>
      <c r="F116" s="107">
        <f ca="1" t="shared" si="9"/>
        <v>521</v>
      </c>
      <c r="G116" s="107">
        <f ca="1" t="shared" si="9"/>
        <v>15767.48</v>
      </c>
      <c r="H116" s="107">
        <f ca="1" t="shared" si="9"/>
        <v>0</v>
      </c>
      <c r="I116" s="107">
        <f ca="1" t="shared" si="9"/>
        <v>0</v>
      </c>
      <c r="J116" s="107">
        <f ca="1" t="shared" si="9"/>
        <v>0</v>
      </c>
      <c r="K116" s="107">
        <f ca="1" t="shared" si="9"/>
        <v>0</v>
      </c>
      <c r="L116" s="107">
        <f ca="1" t="shared" si="9"/>
        <v>0</v>
      </c>
      <c r="M116" s="107">
        <f ca="1" t="shared" si="9"/>
        <v>0</v>
      </c>
      <c r="N116" s="107">
        <f ca="1" t="shared" si="9"/>
        <v>0</v>
      </c>
      <c r="O116" s="107">
        <f ca="1" t="shared" si="9"/>
        <v>0</v>
      </c>
      <c r="P116" s="113">
        <f ca="1" t="shared" ref="P116" si="10">SUM(D116:O116)</f>
        <v>29984.87</v>
      </c>
    </row>
    <row r="117" ht="15" spans="3:16">
      <c r="C117" s="106" t="s">
        <v>296</v>
      </c>
      <c r="D117" s="107">
        <f ca="1" t="shared" si="9"/>
        <v>125298.71</v>
      </c>
      <c r="E117" s="107">
        <f ca="1" t="shared" si="9"/>
        <v>55858.4</v>
      </c>
      <c r="F117" s="107">
        <f ca="1" t="shared" si="9"/>
        <v>233072.97</v>
      </c>
      <c r="G117" s="107">
        <f ca="1" t="shared" si="9"/>
        <v>415485.25</v>
      </c>
      <c r="H117" s="107">
        <f ca="1" t="shared" si="9"/>
        <v>0</v>
      </c>
      <c r="I117" s="107">
        <f ca="1" t="shared" si="9"/>
        <v>0</v>
      </c>
      <c r="J117" s="107">
        <f ca="1" t="shared" si="9"/>
        <v>0</v>
      </c>
      <c r="K117" s="107">
        <f ca="1" t="shared" si="9"/>
        <v>0</v>
      </c>
      <c r="L117" s="107">
        <f ca="1" t="shared" si="9"/>
        <v>0</v>
      </c>
      <c r="M117" s="107">
        <f ca="1" t="shared" si="9"/>
        <v>0</v>
      </c>
      <c r="N117" s="107">
        <f ca="1" t="shared" si="9"/>
        <v>0</v>
      </c>
      <c r="O117" s="107">
        <f ca="1" t="shared" si="9"/>
        <v>0</v>
      </c>
      <c r="P117" s="113">
        <f ca="1" t="shared" si="8"/>
        <v>829715.33</v>
      </c>
    </row>
    <row r="118" ht="15" spans="3:16">
      <c r="C118" s="106" t="s">
        <v>297</v>
      </c>
      <c r="D118" s="107">
        <f ca="1" t="shared" si="9"/>
        <v>783569.48</v>
      </c>
      <c r="E118" s="107">
        <f ca="1" t="shared" si="9"/>
        <v>1891703.26</v>
      </c>
      <c r="F118" s="107">
        <f ca="1" t="shared" si="9"/>
        <v>3353516.3</v>
      </c>
      <c r="G118" s="107">
        <f ca="1" t="shared" si="9"/>
        <v>3087897.72</v>
      </c>
      <c r="H118" s="107">
        <f ca="1" t="shared" si="9"/>
        <v>0</v>
      </c>
      <c r="I118" s="107">
        <f ca="1" t="shared" si="9"/>
        <v>0</v>
      </c>
      <c r="J118" s="107">
        <f ca="1" t="shared" si="9"/>
        <v>0</v>
      </c>
      <c r="K118" s="107">
        <f ca="1" t="shared" si="9"/>
        <v>0</v>
      </c>
      <c r="L118" s="107">
        <f ca="1" t="shared" si="9"/>
        <v>0</v>
      </c>
      <c r="M118" s="107">
        <f ca="1" t="shared" si="9"/>
        <v>0</v>
      </c>
      <c r="N118" s="107">
        <f ca="1" t="shared" si="9"/>
        <v>0</v>
      </c>
      <c r="O118" s="107">
        <f ca="1" t="shared" si="9"/>
        <v>0</v>
      </c>
      <c r="P118" s="113">
        <f ca="1" t="shared" si="8"/>
        <v>9116686.76</v>
      </c>
    </row>
    <row r="119" ht="15" spans="3:16">
      <c r="C119" s="106" t="s">
        <v>298</v>
      </c>
      <c r="D119" s="107">
        <f ca="1" t="shared" si="9"/>
        <v>239424.63</v>
      </c>
      <c r="E119" s="107">
        <f ca="1" t="shared" si="9"/>
        <v>41336.01</v>
      </c>
      <c r="F119" s="107">
        <f ca="1" t="shared" si="9"/>
        <v>33520.35</v>
      </c>
      <c r="G119" s="107">
        <f ca="1" t="shared" si="9"/>
        <v>68280.33</v>
      </c>
      <c r="H119" s="107">
        <f ca="1" t="shared" si="9"/>
        <v>0</v>
      </c>
      <c r="I119" s="107">
        <f ca="1" t="shared" si="9"/>
        <v>0</v>
      </c>
      <c r="J119" s="107">
        <f ca="1" t="shared" si="9"/>
        <v>0</v>
      </c>
      <c r="K119" s="107">
        <f ca="1" t="shared" si="9"/>
        <v>0</v>
      </c>
      <c r="L119" s="107">
        <f ca="1" t="shared" si="9"/>
        <v>0</v>
      </c>
      <c r="M119" s="107">
        <f ca="1" t="shared" si="9"/>
        <v>0</v>
      </c>
      <c r="N119" s="107">
        <f ca="1" t="shared" si="9"/>
        <v>0</v>
      </c>
      <c r="O119" s="107">
        <f ca="1" t="shared" si="9"/>
        <v>0</v>
      </c>
      <c r="P119" s="113">
        <f ca="1" t="shared" si="8"/>
        <v>382561.32</v>
      </c>
    </row>
    <row r="120" ht="15" spans="3:16">
      <c r="C120" s="106" t="s">
        <v>299</v>
      </c>
      <c r="D120" s="107">
        <f ca="1" t="shared" si="9"/>
        <v>0</v>
      </c>
      <c r="E120" s="107">
        <f ca="1" t="shared" si="9"/>
        <v>0</v>
      </c>
      <c r="F120" s="107">
        <f ca="1" t="shared" si="9"/>
        <v>0</v>
      </c>
      <c r="G120" s="107">
        <f ca="1" t="shared" si="9"/>
        <v>0</v>
      </c>
      <c r="H120" s="107">
        <f ca="1" t="shared" si="9"/>
        <v>0</v>
      </c>
      <c r="I120" s="107">
        <f ca="1" t="shared" si="9"/>
        <v>0</v>
      </c>
      <c r="J120" s="107">
        <f ca="1" t="shared" si="9"/>
        <v>0</v>
      </c>
      <c r="K120" s="107">
        <f ca="1" t="shared" si="9"/>
        <v>0</v>
      </c>
      <c r="L120" s="107">
        <f ca="1" t="shared" si="9"/>
        <v>0</v>
      </c>
      <c r="M120" s="107">
        <f ca="1" t="shared" si="9"/>
        <v>0</v>
      </c>
      <c r="N120" s="107">
        <f ca="1" t="shared" si="9"/>
        <v>0</v>
      </c>
      <c r="O120" s="107">
        <f ca="1" t="shared" si="9"/>
        <v>0</v>
      </c>
      <c r="P120" s="113"/>
    </row>
    <row r="121" ht="15" spans="3:16">
      <c r="C121" s="106" t="s">
        <v>300</v>
      </c>
      <c r="D121" s="107">
        <f ca="1" t="shared" si="9"/>
        <v>41561.55</v>
      </c>
      <c r="E121" s="107">
        <f ca="1" t="shared" si="9"/>
        <v>1507.78</v>
      </c>
      <c r="F121" s="107">
        <f ca="1" t="shared" si="9"/>
        <v>6256.72</v>
      </c>
      <c r="G121" s="107">
        <f ca="1" t="shared" si="9"/>
        <v>76443.96</v>
      </c>
      <c r="H121" s="107">
        <f ca="1" t="shared" si="9"/>
        <v>0</v>
      </c>
      <c r="I121" s="107">
        <f ca="1" t="shared" si="9"/>
        <v>0</v>
      </c>
      <c r="J121" s="107">
        <f ca="1" t="shared" si="9"/>
        <v>0</v>
      </c>
      <c r="K121" s="107">
        <f ca="1" t="shared" si="9"/>
        <v>0</v>
      </c>
      <c r="L121" s="107">
        <f ca="1" t="shared" si="9"/>
        <v>0</v>
      </c>
      <c r="M121" s="107">
        <f ca="1" t="shared" si="9"/>
        <v>0</v>
      </c>
      <c r="N121" s="107">
        <f ca="1" t="shared" si="9"/>
        <v>0</v>
      </c>
      <c r="O121" s="107">
        <f ca="1" t="shared" si="9"/>
        <v>0</v>
      </c>
      <c r="P121" s="113"/>
    </row>
    <row r="122" ht="15" spans="3:16">
      <c r="C122" s="106" t="s">
        <v>301</v>
      </c>
      <c r="D122" s="107">
        <f ca="1" t="shared" si="9"/>
        <v>0</v>
      </c>
      <c r="E122" s="107">
        <f ca="1" t="shared" si="9"/>
        <v>0</v>
      </c>
      <c r="F122" s="107">
        <f ca="1" t="shared" si="9"/>
        <v>0</v>
      </c>
      <c r="G122" s="107">
        <f ca="1" t="shared" si="9"/>
        <v>0</v>
      </c>
      <c r="H122" s="107">
        <f ca="1" t="shared" si="9"/>
        <v>0</v>
      </c>
      <c r="I122" s="107">
        <f ca="1" t="shared" si="9"/>
        <v>0</v>
      </c>
      <c r="J122" s="107">
        <f ca="1" t="shared" si="9"/>
        <v>0</v>
      </c>
      <c r="K122" s="107">
        <f ca="1" t="shared" si="9"/>
        <v>0</v>
      </c>
      <c r="L122" s="107">
        <f ca="1" t="shared" si="9"/>
        <v>0</v>
      </c>
      <c r="M122" s="107">
        <f ca="1" t="shared" si="9"/>
        <v>0</v>
      </c>
      <c r="N122" s="107">
        <f ca="1" t="shared" si="9"/>
        <v>0</v>
      </c>
      <c r="O122" s="107">
        <f ca="1" t="shared" si="9"/>
        <v>0</v>
      </c>
      <c r="P122" s="113"/>
    </row>
    <row r="123" ht="15" spans="3:16">
      <c r="C123" s="106" t="s">
        <v>302</v>
      </c>
      <c r="D123" s="107">
        <f ca="1" t="shared" si="9"/>
        <v>10200</v>
      </c>
      <c r="E123" s="107">
        <f ca="1" t="shared" si="9"/>
        <v>0</v>
      </c>
      <c r="F123" s="107">
        <f ca="1" t="shared" si="9"/>
        <v>1358.7</v>
      </c>
      <c r="G123" s="107">
        <f ca="1" t="shared" si="9"/>
        <v>0</v>
      </c>
      <c r="H123" s="107">
        <f ca="1" t="shared" si="9"/>
        <v>0</v>
      </c>
      <c r="I123" s="107">
        <f ca="1" t="shared" si="9"/>
        <v>0</v>
      </c>
      <c r="J123" s="107">
        <f ca="1" t="shared" si="9"/>
        <v>0</v>
      </c>
      <c r="K123" s="107">
        <f ca="1" t="shared" si="9"/>
        <v>0</v>
      </c>
      <c r="L123" s="107">
        <f ca="1" t="shared" si="9"/>
        <v>0</v>
      </c>
      <c r="M123" s="107">
        <f ca="1" t="shared" si="9"/>
        <v>0</v>
      </c>
      <c r="N123" s="107">
        <f ca="1" t="shared" si="9"/>
        <v>0</v>
      </c>
      <c r="O123" s="107">
        <f ca="1" t="shared" si="9"/>
        <v>0</v>
      </c>
      <c r="P123" s="113"/>
    </row>
    <row r="124" ht="15" spans="3:16">
      <c r="C124" s="106" t="s">
        <v>303</v>
      </c>
      <c r="D124" s="107">
        <f ca="1" t="shared" si="9"/>
        <v>0</v>
      </c>
      <c r="E124" s="107">
        <f ca="1" t="shared" si="9"/>
        <v>0</v>
      </c>
      <c r="F124" s="107">
        <f ca="1" t="shared" si="9"/>
        <v>0</v>
      </c>
      <c r="G124" s="107">
        <f ca="1" t="shared" si="9"/>
        <v>0</v>
      </c>
      <c r="H124" s="107">
        <f ca="1" t="shared" si="9"/>
        <v>0</v>
      </c>
      <c r="I124" s="107">
        <f ca="1" t="shared" si="9"/>
        <v>0</v>
      </c>
      <c r="J124" s="107">
        <f ca="1" t="shared" si="9"/>
        <v>0</v>
      </c>
      <c r="K124" s="107">
        <f ca="1" t="shared" si="9"/>
        <v>0</v>
      </c>
      <c r="L124" s="107">
        <f ca="1" t="shared" si="9"/>
        <v>0</v>
      </c>
      <c r="M124" s="107">
        <f ca="1" t="shared" si="9"/>
        <v>0</v>
      </c>
      <c r="N124" s="107">
        <f ca="1" t="shared" si="9"/>
        <v>0</v>
      </c>
      <c r="O124" s="107">
        <f ca="1" t="shared" si="9"/>
        <v>0</v>
      </c>
      <c r="P124" s="113"/>
    </row>
    <row r="125" ht="15" spans="3:16">
      <c r="C125" s="106" t="s">
        <v>304</v>
      </c>
      <c r="D125" s="107">
        <f ca="1" t="shared" si="9"/>
        <v>100069.74</v>
      </c>
      <c r="E125" s="107">
        <f ca="1" t="shared" si="9"/>
        <v>65237.32</v>
      </c>
      <c r="F125" s="107">
        <f ca="1" t="shared" si="9"/>
        <v>147218.5</v>
      </c>
      <c r="G125" s="107">
        <f ca="1" t="shared" si="9"/>
        <v>140453.69</v>
      </c>
      <c r="H125" s="107">
        <f ca="1" t="shared" si="9"/>
        <v>0</v>
      </c>
      <c r="I125" s="107">
        <f ca="1" t="shared" si="9"/>
        <v>0</v>
      </c>
      <c r="J125" s="107">
        <f ca="1" t="shared" si="9"/>
        <v>0</v>
      </c>
      <c r="K125" s="107">
        <f ca="1" t="shared" si="9"/>
        <v>0</v>
      </c>
      <c r="L125" s="107">
        <f ca="1" t="shared" si="9"/>
        <v>0</v>
      </c>
      <c r="M125" s="107">
        <f ca="1" t="shared" si="9"/>
        <v>0</v>
      </c>
      <c r="N125" s="107">
        <f ca="1" t="shared" si="9"/>
        <v>0</v>
      </c>
      <c r="O125" s="107">
        <f ca="1" t="shared" si="9"/>
        <v>0</v>
      </c>
      <c r="P125" s="113"/>
    </row>
    <row r="126" ht="15" spans="3:16">
      <c r="C126" s="106" t="s">
        <v>305</v>
      </c>
      <c r="D126" s="107">
        <f ca="1" t="shared" si="9"/>
        <v>148936.44</v>
      </c>
      <c r="E126" s="107">
        <f ca="1" t="shared" si="9"/>
        <v>78117.9</v>
      </c>
      <c r="F126" s="107">
        <f ca="1" t="shared" si="9"/>
        <v>266119.12</v>
      </c>
      <c r="G126" s="107">
        <f ca="1" t="shared" si="9"/>
        <v>237534.22</v>
      </c>
      <c r="H126" s="107">
        <f ca="1" t="shared" si="9"/>
        <v>0</v>
      </c>
      <c r="I126" s="107">
        <f ca="1" t="shared" si="9"/>
        <v>0</v>
      </c>
      <c r="J126" s="107">
        <f ca="1" t="shared" si="9"/>
        <v>0</v>
      </c>
      <c r="K126" s="107">
        <f ca="1" t="shared" si="9"/>
        <v>0</v>
      </c>
      <c r="L126" s="107">
        <f ca="1" t="shared" si="9"/>
        <v>0</v>
      </c>
      <c r="M126" s="107">
        <f ca="1" t="shared" si="9"/>
        <v>0</v>
      </c>
      <c r="N126" s="107">
        <f ca="1" t="shared" si="9"/>
        <v>0</v>
      </c>
      <c r="O126" s="107">
        <f ca="1" t="shared" si="9"/>
        <v>0</v>
      </c>
      <c r="P126" s="113"/>
    </row>
    <row r="127" ht="15" spans="3:16">
      <c r="C127" s="106" t="s">
        <v>306</v>
      </c>
      <c r="D127" s="107">
        <f ca="1" t="shared" si="9"/>
        <v>2222562.18</v>
      </c>
      <c r="E127" s="107">
        <f ca="1" t="shared" si="9"/>
        <v>-1705335.54</v>
      </c>
      <c r="F127" s="107">
        <f ca="1" t="shared" si="9"/>
        <v>488227.25</v>
      </c>
      <c r="G127" s="107">
        <f ca="1" t="shared" si="9"/>
        <v>1073250.93</v>
      </c>
      <c r="H127" s="107">
        <f ca="1" t="shared" si="9"/>
        <v>0</v>
      </c>
      <c r="I127" s="107">
        <f ca="1" t="shared" si="9"/>
        <v>0</v>
      </c>
      <c r="J127" s="107">
        <f ca="1" t="shared" si="9"/>
        <v>0</v>
      </c>
      <c r="K127" s="107">
        <f ca="1" t="shared" si="9"/>
        <v>0</v>
      </c>
      <c r="L127" s="107">
        <f ca="1" t="shared" si="9"/>
        <v>0</v>
      </c>
      <c r="M127" s="107">
        <f ca="1" t="shared" si="9"/>
        <v>0</v>
      </c>
      <c r="N127" s="107">
        <f ca="1" t="shared" si="9"/>
        <v>0</v>
      </c>
      <c r="O127" s="107">
        <f ca="1" t="shared" si="9"/>
        <v>0</v>
      </c>
      <c r="P127" s="113">
        <f ca="1" t="shared" si="8"/>
        <v>2078704.82</v>
      </c>
    </row>
    <row r="128" ht="15" spans="3:16">
      <c r="C128" s="106" t="s">
        <v>12</v>
      </c>
      <c r="D128" s="107">
        <f ca="1">SUM(D111:D127)</f>
        <v>8270602.53</v>
      </c>
      <c r="E128" s="107">
        <f ca="1" t="shared" ref="E128:O128" si="11">SUM(E111:E127)</f>
        <v>4249148.88</v>
      </c>
      <c r="F128" s="107">
        <f ca="1" t="shared" si="11"/>
        <v>16516097.84</v>
      </c>
      <c r="G128" s="107">
        <f ca="1" t="shared" si="11"/>
        <v>14172813.08</v>
      </c>
      <c r="H128" s="107">
        <f ca="1" t="shared" si="11"/>
        <v>0</v>
      </c>
      <c r="I128" s="107">
        <f ca="1" t="shared" si="11"/>
        <v>0</v>
      </c>
      <c r="J128" s="107">
        <f ca="1" t="shared" si="11"/>
        <v>0</v>
      </c>
      <c r="K128" s="107">
        <f ca="1" t="shared" si="11"/>
        <v>0</v>
      </c>
      <c r="L128" s="107">
        <f ca="1" t="shared" si="11"/>
        <v>0</v>
      </c>
      <c r="M128" s="107">
        <f ca="1" t="shared" si="11"/>
        <v>0</v>
      </c>
      <c r="N128" s="107">
        <f ca="1" t="shared" si="11"/>
        <v>0</v>
      </c>
      <c r="O128" s="107">
        <f ca="1" t="shared" si="11"/>
        <v>0</v>
      </c>
      <c r="P128" s="113">
        <f ca="1" t="shared" si="8"/>
        <v>43208662.33</v>
      </c>
    </row>
    <row r="129" spans="3:16">
      <c r="C129" s="106" t="s">
        <v>13</v>
      </c>
      <c r="D129" s="21">
        <f ca="1">SUM('X-高新:X-中天鸿锂'!D93)-D128</f>
        <v>0</v>
      </c>
      <c r="E129" s="21">
        <f ca="1">SUM('X-高新:X-中天鸿锂'!E93)-E128</f>
        <v>0</v>
      </c>
      <c r="F129" s="21">
        <f ca="1">SUM('X-高新:X-中天鸿锂'!F93)-F128</f>
        <v>0</v>
      </c>
      <c r="G129" s="21">
        <f ca="1">SUM('X-高新:X-中天鸿锂'!G93)-G128</f>
        <v>0</v>
      </c>
      <c r="H129" s="21">
        <f ca="1">SUM('X-高新:X-中天鸿锂'!H93)-H128</f>
        <v>0</v>
      </c>
      <c r="I129" s="21">
        <f ca="1">SUM('X-高新:X-中天鸿锂'!I93)-I128</f>
        <v>0</v>
      </c>
      <c r="J129" s="21">
        <f ca="1">SUM('X-高新:X-中天鸿锂'!J93)-J128</f>
        <v>0</v>
      </c>
      <c r="K129" s="21">
        <f ca="1">SUM('X-高新:X-中天鸿锂'!K93)-K128</f>
        <v>0</v>
      </c>
      <c r="L129" s="21">
        <f ca="1">SUM('X-高新:X-中天鸿锂'!L93)-L128</f>
        <v>0</v>
      </c>
      <c r="M129" s="21">
        <f ca="1">SUM('X-高新:X-中天鸿锂'!M93)-M128</f>
        <v>0</v>
      </c>
      <c r="N129" s="21">
        <f ca="1">SUM('X-高新:X-中天鸿锂'!N93)-N128</f>
        <v>0</v>
      </c>
      <c r="O129" s="21">
        <f ca="1">SUM('X-高新:X-中天鸿锂'!O93)-O128</f>
        <v>0</v>
      </c>
      <c r="P129" s="113">
        <f ca="1" t="shared" si="8"/>
        <v>0</v>
      </c>
    </row>
    <row r="134" spans="3:16">
      <c r="C134" s="10" t="s">
        <v>133</v>
      </c>
      <c r="D134" s="10">
        <f>-'X-宁德'!D58</f>
        <v>0</v>
      </c>
      <c r="E134" s="10">
        <f>-'X-宁德'!E58</f>
        <v>-1086324.63</v>
      </c>
      <c r="F134" s="10">
        <f>-'X-宁德'!F58</f>
        <v>-1656404.27</v>
      </c>
      <c r="G134" s="10">
        <f>-'X-宁德'!G58</f>
        <v>-1611434.24</v>
      </c>
      <c r="H134" s="10">
        <f>-'X-宁德'!H58</f>
        <v>0</v>
      </c>
      <c r="I134" s="10">
        <f>-'X-宁德'!I58</f>
        <v>0</v>
      </c>
      <c r="J134" s="10">
        <f>-'X-宁德'!J58</f>
        <v>0</v>
      </c>
      <c r="K134" s="10">
        <f>-'X-宁德'!K58</f>
        <v>0</v>
      </c>
      <c r="L134" s="10">
        <f>-'X-宁德'!L58</f>
        <v>0</v>
      </c>
      <c r="M134" s="10">
        <f>-'X-宁德'!M58</f>
        <v>0</v>
      </c>
      <c r="N134" s="10">
        <f>-'X-宁德'!N58</f>
        <v>0</v>
      </c>
      <c r="O134" s="10">
        <f>-'X-宁德'!O58</f>
        <v>0</v>
      </c>
      <c r="P134" s="10">
        <f>-'X-宁德'!P58</f>
        <v>-4354163.14</v>
      </c>
    </row>
    <row r="135" spans="3:16">
      <c r="C135" s="10" t="s">
        <v>12</v>
      </c>
      <c r="D135" s="10">
        <f>D134</f>
        <v>0</v>
      </c>
      <c r="E135" s="10">
        <f t="shared" ref="E135:P135" si="12">E134</f>
        <v>-1086324.63</v>
      </c>
      <c r="F135" s="10">
        <f t="shared" si="12"/>
        <v>-1656404.27</v>
      </c>
      <c r="G135" s="10">
        <f t="shared" si="12"/>
        <v>-1611434.24</v>
      </c>
      <c r="H135" s="10">
        <f t="shared" si="12"/>
        <v>0</v>
      </c>
      <c r="I135" s="10">
        <f t="shared" si="12"/>
        <v>0</v>
      </c>
      <c r="J135" s="10">
        <f t="shared" si="12"/>
        <v>0</v>
      </c>
      <c r="K135" s="10">
        <f t="shared" si="12"/>
        <v>0</v>
      </c>
      <c r="L135" s="10">
        <f t="shared" si="12"/>
        <v>0</v>
      </c>
      <c r="M135" s="10">
        <f t="shared" si="12"/>
        <v>0</v>
      </c>
      <c r="N135" s="10">
        <f t="shared" si="12"/>
        <v>0</v>
      </c>
      <c r="O135" s="10">
        <f t="shared" si="12"/>
        <v>0</v>
      </c>
      <c r="P135" s="10">
        <f t="shared" si="12"/>
        <v>-4354163.14</v>
      </c>
    </row>
  </sheetData>
  <autoFilter ref="A5:S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104:IK104">
    <cfRule type="cellIs" dxfId="0" priority="1" stopIfTrue="1" operator="equal">
      <formula>"no"</formula>
    </cfRule>
  </conditionalFormatting>
  <conditionalFormatting sqref="A41:C41 Q41 T41:IF41">
    <cfRule type="cellIs" dxfId="0" priority="2" stopIfTrue="1" operator="equal">
      <formula>"no"</formula>
    </cfRule>
  </conditionalFormatting>
  <pageMargins left="0.75" right="0.75" top="1" bottom="1" header="0.5" footer="0.5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R110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3.875" style="10" customWidth="1"/>
    <col min="5" max="5" width="11.75" style="6" customWidth="1"/>
    <col min="6" max="6" width="14.125" style="6" customWidth="1"/>
    <col min="7" max="12" width="11.5" style="10" customWidth="1"/>
    <col min="13" max="15" width="12.75" style="10" customWidth="1"/>
    <col min="16" max="16" width="14.25" style="10" customWidth="1"/>
    <col min="17" max="17" width="15.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307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8">
      <c r="A6" s="198" t="s">
        <v>69</v>
      </c>
      <c r="B6" s="19" t="s">
        <v>70</v>
      </c>
      <c r="C6" s="20" t="s">
        <v>70</v>
      </c>
      <c r="D6" s="21">
        <f>1257096.65+2100</f>
        <v>1259196.65</v>
      </c>
      <c r="E6" s="21">
        <f>732423.06+2100</f>
        <v>734523.06</v>
      </c>
      <c r="F6" s="21">
        <f>845437.18+2100</f>
        <v>847537.18</v>
      </c>
      <c r="G6" s="21">
        <v>1018628.63</v>
      </c>
      <c r="H6" s="21"/>
      <c r="I6" s="21"/>
      <c r="J6" s="21"/>
      <c r="K6" s="21"/>
      <c r="L6" s="21"/>
      <c r="M6" s="21"/>
      <c r="N6" s="21"/>
      <c r="O6" s="21"/>
      <c r="P6" s="47">
        <f>SUM(D6:O6)</f>
        <v>3859885.52</v>
      </c>
      <c r="Q6" s="48"/>
      <c r="R6" s="48"/>
    </row>
    <row r="7" s="5" customFormat="1" ht="17.25" customHeight="1" spans="1:18">
      <c r="A7" s="199"/>
      <c r="B7" s="23"/>
      <c r="C7" s="20" t="s">
        <v>71</v>
      </c>
      <c r="D7" s="21">
        <v>-51360.63</v>
      </c>
      <c r="E7" s="21">
        <v>184593</v>
      </c>
      <c r="F7" s="21">
        <v>190184</v>
      </c>
      <c r="G7" s="21">
        <v>949873.92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1273290.29</v>
      </c>
      <c r="Q7" s="272"/>
      <c r="R7" s="48"/>
    </row>
    <row r="8" s="5" customFormat="1" ht="17.25" customHeight="1" spans="1:18">
      <c r="A8" s="199"/>
      <c r="B8" s="19" t="s">
        <v>72</v>
      </c>
      <c r="C8" s="20" t="s">
        <v>72</v>
      </c>
      <c r="D8" s="21">
        <v>0</v>
      </c>
      <c r="E8" s="21">
        <v>34167</v>
      </c>
      <c r="F8" s="21">
        <v>24967.56</v>
      </c>
      <c r="G8" s="21">
        <v>9167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68301.56</v>
      </c>
      <c r="Q8" s="273"/>
      <c r="R8" s="48"/>
    </row>
    <row r="9" s="5" customFormat="1" ht="17.25" customHeight="1" spans="1:18">
      <c r="A9" s="199"/>
      <c r="B9" s="19" t="s">
        <v>73</v>
      </c>
      <c r="C9" s="20" t="s">
        <v>73</v>
      </c>
      <c r="D9" s="21">
        <v>0</v>
      </c>
      <c r="E9" s="21">
        <v>0</v>
      </c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  <c r="Q9" s="272"/>
      <c r="R9" s="48"/>
    </row>
    <row r="10" s="5" customFormat="1" ht="17.25" customHeight="1" spans="1:18">
      <c r="A10" s="199"/>
      <c r="B10" s="19" t="s">
        <v>74</v>
      </c>
      <c r="C10" s="20" t="s">
        <v>75</v>
      </c>
      <c r="D10" s="21">
        <v>0</v>
      </c>
      <c r="E10" s="21">
        <v>0</v>
      </c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  <c r="Q10" s="272"/>
      <c r="R10" s="48"/>
    </row>
    <row r="11" s="5" customFormat="1" ht="17.25" customHeight="1" spans="1:18">
      <c r="A11" s="199"/>
      <c r="B11" s="24"/>
      <c r="C11" s="25" t="s">
        <v>76</v>
      </c>
      <c r="D11" s="21">
        <v>9000</v>
      </c>
      <c r="E11" s="21">
        <v>0</v>
      </c>
      <c r="F11" s="21">
        <v>1350</v>
      </c>
      <c r="G11" s="21">
        <v>-9000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1350</v>
      </c>
      <c r="Q11" s="272"/>
      <c r="R11" s="48"/>
    </row>
    <row r="12" s="5" customFormat="1" ht="17.25" customHeight="1" spans="1:18">
      <c r="A12" s="199"/>
      <c r="B12" s="24"/>
      <c r="C12" s="20" t="s">
        <v>77</v>
      </c>
      <c r="D12" s="21">
        <v>0</v>
      </c>
      <c r="E12" s="21">
        <v>0</v>
      </c>
      <c r="F12" s="21">
        <v>14800</v>
      </c>
      <c r="G12" s="21">
        <v>11920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26720</v>
      </c>
      <c r="Q12" s="272"/>
      <c r="R12" s="48"/>
    </row>
    <row r="13" s="5" customFormat="1" ht="17.25" customHeight="1" spans="1:18">
      <c r="A13" s="199"/>
      <c r="B13" s="24"/>
      <c r="C13" s="25" t="s">
        <v>78</v>
      </c>
      <c r="D13" s="21">
        <v>0</v>
      </c>
      <c r="E13" s="21">
        <v>0</v>
      </c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  <c r="R13" s="48"/>
    </row>
    <row r="14" s="5" customFormat="1" ht="17.25" customHeight="1" spans="1:18">
      <c r="A14" s="199"/>
      <c r="B14" s="24"/>
      <c r="C14" s="20" t="s">
        <v>79</v>
      </c>
      <c r="D14" s="21">
        <v>0</v>
      </c>
      <c r="E14" s="21">
        <v>800</v>
      </c>
      <c r="F14" s="21">
        <v>400</v>
      </c>
      <c r="G14" s="21">
        <v>400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1600</v>
      </c>
      <c r="R14" s="48"/>
    </row>
    <row r="15" s="5" customFormat="1" ht="17.25" customHeight="1" spans="1:18">
      <c r="A15" s="199"/>
      <c r="B15" s="24"/>
      <c r="C15" s="25" t="s">
        <v>80</v>
      </c>
      <c r="D15" s="21">
        <v>0</v>
      </c>
      <c r="E15" s="21">
        <v>0</v>
      </c>
      <c r="F15" s="21"/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  <c r="R15" s="48"/>
    </row>
    <row r="16" s="5" customFormat="1" ht="17.25" customHeight="1" spans="1:18">
      <c r="A16" s="199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  <c r="R16" s="48"/>
    </row>
    <row r="17" s="5" customFormat="1" ht="17.25" customHeight="1" spans="1:18">
      <c r="A17" s="199"/>
      <c r="B17" s="24"/>
      <c r="C17" s="25" t="s">
        <v>82</v>
      </c>
      <c r="D17" s="21">
        <v>0</v>
      </c>
      <c r="E17" s="21">
        <v>0</v>
      </c>
      <c r="F17" s="21"/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  <c r="R17" s="48"/>
    </row>
    <row r="18" s="5" customFormat="1" ht="17.25" customHeight="1" spans="1:18">
      <c r="A18" s="199"/>
      <c r="B18" s="23"/>
      <c r="C18" s="25" t="s">
        <v>83</v>
      </c>
      <c r="D18" s="21">
        <v>229.7</v>
      </c>
      <c r="E18" s="21">
        <v>0</v>
      </c>
      <c r="F18" s="21"/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229.7</v>
      </c>
      <c r="R18" s="48"/>
    </row>
    <row r="19" s="5" customFormat="1" ht="17.25" customHeight="1" spans="1:18">
      <c r="A19" s="199"/>
      <c r="B19" s="26" t="s">
        <v>84</v>
      </c>
      <c r="C19" s="25" t="s">
        <v>84</v>
      </c>
      <c r="D19" s="21">
        <v>20037</v>
      </c>
      <c r="E19" s="21">
        <v>22333</v>
      </c>
      <c r="F19" s="21">
        <v>42049</v>
      </c>
      <c r="G19" s="21">
        <v>24307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108726</v>
      </c>
      <c r="Q19" s="272"/>
      <c r="R19" s="48"/>
    </row>
    <row r="20" s="5" customFormat="1" ht="17.25" customHeight="1" spans="1:18">
      <c r="A20" s="199"/>
      <c r="B20" s="19" t="s">
        <v>85</v>
      </c>
      <c r="C20" s="20" t="s">
        <v>85</v>
      </c>
      <c r="D20" s="21">
        <v>0</v>
      </c>
      <c r="E20" s="21">
        <v>0</v>
      </c>
      <c r="F20" s="21"/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  <c r="Q20" s="272"/>
      <c r="R20" s="48"/>
    </row>
    <row r="21" s="5" customFormat="1" ht="17.25" customHeight="1" spans="1:18">
      <c r="A21" s="199"/>
      <c r="B21" s="19" t="s">
        <v>86</v>
      </c>
      <c r="C21" s="20" t="s">
        <v>86</v>
      </c>
      <c r="D21" s="21">
        <v>8069.42</v>
      </c>
      <c r="E21" s="21">
        <v>2264.15</v>
      </c>
      <c r="F21" s="21">
        <v>18376.79</v>
      </c>
      <c r="G21" s="21">
        <v>42173.48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70883.84</v>
      </c>
      <c r="Q21" s="272"/>
      <c r="R21" s="48"/>
    </row>
    <row r="22" s="5" customFormat="1" ht="17.25" customHeight="1" spans="1:18">
      <c r="A22" s="199"/>
      <c r="B22" s="19" t="s">
        <v>87</v>
      </c>
      <c r="C22" s="25" t="s">
        <v>88</v>
      </c>
      <c r="D22" s="21">
        <v>36650.74</v>
      </c>
      <c r="E22" s="21">
        <v>35374.5</v>
      </c>
      <c r="F22" s="21">
        <v>-305.900000000003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71719.34</v>
      </c>
      <c r="Q22" s="272"/>
      <c r="R22" s="48"/>
    </row>
    <row r="23" s="5" customFormat="1" ht="17.25" customHeight="1" spans="1:18">
      <c r="A23" s="199"/>
      <c r="B23" s="24"/>
      <c r="C23" s="25" t="s">
        <v>89</v>
      </c>
      <c r="D23" s="21">
        <v>592.48</v>
      </c>
      <c r="E23" s="21">
        <v>568.76</v>
      </c>
      <c r="F23" s="21">
        <v>481.04</v>
      </c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1642.28</v>
      </c>
      <c r="Q23" s="272"/>
      <c r="R23" s="48"/>
    </row>
    <row r="24" s="5" customFormat="1" ht="17.25" customHeight="1" spans="1:18">
      <c r="A24" s="199"/>
      <c r="B24" s="24"/>
      <c r="C24" s="25" t="s">
        <v>90</v>
      </c>
      <c r="D24" s="21">
        <v>888.72</v>
      </c>
      <c r="E24" s="21">
        <v>853.14</v>
      </c>
      <c r="F24" s="21">
        <v>-422.5</v>
      </c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1319.36</v>
      </c>
      <c r="Q24" s="272"/>
      <c r="R24" s="48"/>
    </row>
    <row r="25" s="5" customFormat="1" ht="17.25" customHeight="1" spans="1:18">
      <c r="A25" s="199"/>
      <c r="B25" s="24"/>
      <c r="C25" s="25" t="s">
        <v>91</v>
      </c>
      <c r="D25" s="21">
        <v>23260.22</v>
      </c>
      <c r="E25" s="21">
        <v>22503.44</v>
      </c>
      <c r="F25" s="21">
        <v>29025.29</v>
      </c>
      <c r="G25" s="21">
        <v>17946.64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92735.59</v>
      </c>
      <c r="Q25" s="272"/>
      <c r="R25" s="48"/>
    </row>
    <row r="26" s="5" customFormat="1" ht="17.25" customHeight="1" spans="1:18">
      <c r="A26" s="199"/>
      <c r="B26" s="23"/>
      <c r="C26" s="25" t="s">
        <v>92</v>
      </c>
      <c r="D26" s="21">
        <v>2937.86</v>
      </c>
      <c r="E26" s="21">
        <v>2842.8</v>
      </c>
      <c r="F26" s="21">
        <v>4274.23</v>
      </c>
      <c r="G26" s="21">
        <v>3223.04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13277.93</v>
      </c>
      <c r="Q26" s="272"/>
      <c r="R26" s="48"/>
    </row>
    <row r="27" s="5" customFormat="1" ht="17.25" customHeight="1" spans="1:18">
      <c r="A27" s="200"/>
      <c r="B27" s="19" t="s">
        <v>93</v>
      </c>
      <c r="C27" s="20" t="s">
        <v>93</v>
      </c>
      <c r="D27" s="21">
        <v>0</v>
      </c>
      <c r="E27" s="21">
        <v>0</v>
      </c>
      <c r="F27" s="21"/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  <c r="Q27" s="272"/>
      <c r="R27" s="48"/>
    </row>
    <row r="28" s="5" customFormat="1" ht="17.25" customHeight="1" spans="1:18">
      <c r="A28" s="201" t="s">
        <v>94</v>
      </c>
      <c r="B28" s="19" t="s">
        <v>95</v>
      </c>
      <c r="C28" s="25" t="s">
        <v>96</v>
      </c>
      <c r="D28" s="21">
        <v>528.98</v>
      </c>
      <c r="E28" s="21">
        <v>0</v>
      </c>
      <c r="F28" s="21"/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528.98</v>
      </c>
      <c r="R28" s="48"/>
    </row>
    <row r="29" s="5" customFormat="1" ht="17.25" customHeight="1" spans="1:18">
      <c r="A29" s="202"/>
      <c r="B29" s="23"/>
      <c r="C29" s="20" t="s">
        <v>97</v>
      </c>
      <c r="D29" s="21">
        <v>527.44</v>
      </c>
      <c r="E29" s="21">
        <v>484.6</v>
      </c>
      <c r="F29" s="21">
        <v>488.29</v>
      </c>
      <c r="G29" s="21">
        <v>35740.04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37240.37</v>
      </c>
      <c r="Q29" s="272"/>
      <c r="R29" s="48"/>
    </row>
    <row r="30" s="5" customFormat="1" ht="17.25" customHeight="1" spans="1:18">
      <c r="A30" s="202"/>
      <c r="B30" s="26" t="s">
        <v>98</v>
      </c>
      <c r="C30" s="25" t="s">
        <v>98</v>
      </c>
      <c r="D30" s="21">
        <v>0</v>
      </c>
      <c r="E30" s="21">
        <v>0</v>
      </c>
      <c r="F30" s="21">
        <v>240</v>
      </c>
      <c r="G30" s="21">
        <v>312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552</v>
      </c>
      <c r="Q30" s="272"/>
      <c r="R30" s="48"/>
    </row>
    <row r="31" s="5" customFormat="1" ht="17.25" customHeight="1" spans="1:18">
      <c r="A31" s="202"/>
      <c r="B31" s="19" t="s">
        <v>99</v>
      </c>
      <c r="C31" s="25" t="s">
        <v>100</v>
      </c>
      <c r="D31" s="21">
        <v>0</v>
      </c>
      <c r="E31" s="21">
        <v>0</v>
      </c>
      <c r="F31" s="21"/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  <c r="R31" s="48"/>
    </row>
    <row r="32" s="5" customFormat="1" ht="17.25" customHeight="1" spans="1:18">
      <c r="A32" s="202"/>
      <c r="B32" s="24"/>
      <c r="C32" s="25" t="s">
        <v>101</v>
      </c>
      <c r="D32" s="21">
        <v>0</v>
      </c>
      <c r="E32" s="21">
        <v>0</v>
      </c>
      <c r="F32" s="21"/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  <c r="R32" s="48"/>
    </row>
    <row r="33" s="5" customFormat="1" ht="17.25" customHeight="1" spans="1:18">
      <c r="A33" s="202"/>
      <c r="B33" s="23"/>
      <c r="C33" s="20" t="s">
        <v>102</v>
      </c>
      <c r="D33" s="21">
        <v>734.91</v>
      </c>
      <c r="E33" s="21">
        <v>958.04</v>
      </c>
      <c r="F33" s="21">
        <v>2453.61</v>
      </c>
      <c r="G33" s="21">
        <v>4835.7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8982.26</v>
      </c>
      <c r="Q33" s="272"/>
      <c r="R33" s="48"/>
    </row>
    <row r="34" s="5" customFormat="1" ht="17.25" customHeight="1" spans="1:18">
      <c r="A34" s="202"/>
      <c r="B34" s="19" t="s">
        <v>103</v>
      </c>
      <c r="C34" s="25" t="s">
        <v>104</v>
      </c>
      <c r="D34" s="21">
        <v>99713.73</v>
      </c>
      <c r="E34" s="21">
        <v>15336.01</v>
      </c>
      <c r="F34" s="21">
        <v>32485.8</v>
      </c>
      <c r="G34" s="21">
        <v>60643.17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208178.71</v>
      </c>
      <c r="Q34" s="272"/>
      <c r="R34" s="48"/>
    </row>
    <row r="35" s="5" customFormat="1" ht="17.25" customHeight="1" spans="1:18">
      <c r="A35" s="202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  <c r="Q35" s="272"/>
      <c r="R35" s="48"/>
    </row>
    <row r="36" s="5" customFormat="1" ht="17.25" customHeight="1" spans="1:18">
      <c r="A36" s="202"/>
      <c r="B36" s="26" t="s">
        <v>106</v>
      </c>
      <c r="C36" s="25" t="s">
        <v>106</v>
      </c>
      <c r="D36" s="21">
        <v>39651.05</v>
      </c>
      <c r="E36" s="21">
        <v>-11505.6</v>
      </c>
      <c r="F36" s="21">
        <v>13684.09</v>
      </c>
      <c r="G36" s="21">
        <v>18646.7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60476.24</v>
      </c>
      <c r="Q36" s="272"/>
      <c r="R36" s="48"/>
    </row>
    <row r="37" s="5" customFormat="1" ht="17.25" customHeight="1" spans="1:18">
      <c r="A37" s="202"/>
      <c r="B37" s="26" t="s">
        <v>107</v>
      </c>
      <c r="C37" s="25" t="s">
        <v>107</v>
      </c>
      <c r="D37" s="21">
        <v>549491.58</v>
      </c>
      <c r="E37" s="21">
        <v>122909.68</v>
      </c>
      <c r="F37" s="21">
        <v>433712.76</v>
      </c>
      <c r="G37" s="21">
        <v>-29755.06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1076358.96</v>
      </c>
      <c r="Q37" s="272"/>
      <c r="R37" s="48"/>
    </row>
    <row r="38" s="5" customFormat="1" ht="17.25" customHeight="1" spans="1:18">
      <c r="A38" s="202"/>
      <c r="B38" s="19" t="s">
        <v>108</v>
      </c>
      <c r="C38" s="25" t="s">
        <v>109</v>
      </c>
      <c r="D38" s="21">
        <v>0</v>
      </c>
      <c r="E38" s="21">
        <v>0</v>
      </c>
      <c r="F38" s="21"/>
      <c r="G38" s="21">
        <v>8427.61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8427.61</v>
      </c>
      <c r="Q38" s="272"/>
      <c r="R38" s="48"/>
    </row>
    <row r="39" s="5" customFormat="1" ht="17.25" customHeight="1" spans="1:18">
      <c r="A39" s="202"/>
      <c r="B39" s="23"/>
      <c r="C39" s="25" t="s">
        <v>110</v>
      </c>
      <c r="D39" s="21">
        <v>25697.98</v>
      </c>
      <c r="E39" s="21">
        <v>6208.04</v>
      </c>
      <c r="F39" s="21">
        <v>2830.19</v>
      </c>
      <c r="G39" s="21">
        <v>301772.84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336509.05</v>
      </c>
      <c r="Q39" s="272"/>
      <c r="R39" s="48"/>
    </row>
    <row r="40" s="5" customFormat="1" ht="17.25" customHeight="1" spans="1:18">
      <c r="A40" s="203"/>
      <c r="B40" s="26" t="s">
        <v>111</v>
      </c>
      <c r="C40" s="25" t="s">
        <v>111</v>
      </c>
      <c r="D40" s="21">
        <v>0</v>
      </c>
      <c r="E40" s="21">
        <v>0</v>
      </c>
      <c r="F40" s="21"/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  <c r="Q40" s="272"/>
      <c r="R40" s="48"/>
    </row>
    <row r="41" s="5" customFormat="1" ht="17.25" customHeight="1" spans="1:18">
      <c r="A41" s="204" t="s">
        <v>112</v>
      </c>
      <c r="B41" s="30" t="s">
        <v>113</v>
      </c>
      <c r="C41" s="20" t="s">
        <v>113</v>
      </c>
      <c r="D41" s="21">
        <v>0</v>
      </c>
      <c r="E41" s="21">
        <v>0</v>
      </c>
      <c r="F41" s="21">
        <v>133.54</v>
      </c>
      <c r="G41" s="21">
        <v>1600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1733.54</v>
      </c>
      <c r="Q41" s="272"/>
      <c r="R41" s="48"/>
    </row>
    <row r="42" s="5" customFormat="1" ht="17.25" customHeight="1" spans="1:18">
      <c r="A42" s="205"/>
      <c r="B42" s="19" t="s">
        <v>114</v>
      </c>
      <c r="C42" s="206" t="s">
        <v>114</v>
      </c>
      <c r="D42" s="21">
        <v>2645.53</v>
      </c>
      <c r="E42" s="21">
        <v>0</v>
      </c>
      <c r="F42" s="21">
        <v>78087.91</v>
      </c>
      <c r="G42" s="21">
        <v>153051.31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233784.75</v>
      </c>
      <c r="Q42" s="272"/>
      <c r="R42" s="48"/>
    </row>
    <row r="43" s="5" customFormat="1" ht="17.25" customHeight="1" spans="1:18">
      <c r="A43" s="205"/>
      <c r="B43" s="19" t="s">
        <v>115</v>
      </c>
      <c r="C43" s="206" t="s">
        <v>115</v>
      </c>
      <c r="D43" s="21">
        <v>0</v>
      </c>
      <c r="E43" s="21">
        <v>0</v>
      </c>
      <c r="F43" s="21"/>
      <c r="G43" s="21">
        <v>1886.79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1886.79</v>
      </c>
      <c r="Q43" s="272"/>
      <c r="R43" s="48"/>
    </row>
    <row r="44" s="5" customFormat="1" ht="17.25" customHeight="1" spans="1:18">
      <c r="A44" s="205"/>
      <c r="B44" s="19" t="s">
        <v>116</v>
      </c>
      <c r="C44" s="206" t="s">
        <v>117</v>
      </c>
      <c r="D44" s="21">
        <v>0</v>
      </c>
      <c r="E44" s="21">
        <v>0</v>
      </c>
      <c r="F44" s="21"/>
      <c r="G44" s="21">
        <v>-74068.72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-74068.72</v>
      </c>
      <c r="Q44" s="272"/>
      <c r="R44" s="48"/>
    </row>
    <row r="45" s="5" customFormat="1" ht="17.25" customHeight="1" spans="1:18">
      <c r="A45" s="205"/>
      <c r="B45" s="23"/>
      <c r="C45" s="206" t="s">
        <v>118</v>
      </c>
      <c r="D45" s="21">
        <v>0</v>
      </c>
      <c r="E45" s="21">
        <v>13790.67</v>
      </c>
      <c r="F45" s="21">
        <v>8305.16</v>
      </c>
      <c r="G45" s="21">
        <v>18782.91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40878.74</v>
      </c>
      <c r="Q45" s="272"/>
      <c r="R45" s="48"/>
    </row>
    <row r="46" s="5" customFormat="1" ht="17.25" customHeight="1" spans="1:18">
      <c r="A46" s="205"/>
      <c r="B46" s="26" t="s">
        <v>119</v>
      </c>
      <c r="C46" s="207" t="s">
        <v>119</v>
      </c>
      <c r="D46" s="21">
        <v>21595.68</v>
      </c>
      <c r="E46" s="21">
        <v>21494.49</v>
      </c>
      <c r="F46" s="21">
        <v>21494.43</v>
      </c>
      <c r="G46" s="21">
        <v>21284.42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85869.02</v>
      </c>
      <c r="Q46" s="272"/>
      <c r="R46" s="48"/>
    </row>
    <row r="47" s="5" customFormat="1" ht="17.25" customHeight="1" spans="1:18">
      <c r="A47" s="205"/>
      <c r="B47" s="26" t="s">
        <v>120</v>
      </c>
      <c r="C47" s="207" t="s">
        <v>120</v>
      </c>
      <c r="D47" s="21">
        <v>0</v>
      </c>
      <c r="E47" s="21">
        <v>0</v>
      </c>
      <c r="F47" s="21"/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  <c r="Q47" s="272"/>
      <c r="R47" s="48"/>
    </row>
    <row r="48" s="189" customFormat="1" ht="17.25" customHeight="1" spans="1:18">
      <c r="A48" s="208"/>
      <c r="B48" s="34" t="s">
        <v>121</v>
      </c>
      <c r="C48" s="209" t="s">
        <v>121</v>
      </c>
      <c r="D48" s="21">
        <v>64511.91</v>
      </c>
      <c r="E48" s="21">
        <v>2013.9</v>
      </c>
      <c r="F48" s="21">
        <v>70148.5</v>
      </c>
      <c r="G48" s="21">
        <v>5109.82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141784.13</v>
      </c>
      <c r="Q48" s="274"/>
      <c r="R48" s="48"/>
    </row>
    <row r="49" s="5" customFormat="1" ht="17.25" customHeight="1" spans="1:18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>
        <v>891.960000000002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891.960000000002</v>
      </c>
      <c r="Q49" s="272"/>
      <c r="R49" s="48"/>
    </row>
    <row r="50" s="5" customFormat="1" ht="17.25" customHeight="1" spans="1:18">
      <c r="A50" s="211"/>
      <c r="B50" s="38"/>
      <c r="C50" s="207" t="s">
        <v>125</v>
      </c>
      <c r="D50" s="21">
        <v>0</v>
      </c>
      <c r="E50" s="21">
        <v>87410.68</v>
      </c>
      <c r="F50" s="21">
        <v>-87410.68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  <c r="R50" s="48"/>
    </row>
    <row r="51" s="5" customFormat="1" ht="17.25" customHeight="1" spans="1:18">
      <c r="A51" s="211"/>
      <c r="B51" s="39"/>
      <c r="C51" s="207" t="s">
        <v>83</v>
      </c>
      <c r="D51" s="21">
        <v>0</v>
      </c>
      <c r="E51" s="21">
        <v>0</v>
      </c>
      <c r="F51" s="21"/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  <c r="R51" s="48"/>
    </row>
    <row r="52" s="5" customFormat="1" ht="17.25" customHeight="1" spans="1:18">
      <c r="A52" s="211"/>
      <c r="B52" s="19" t="s">
        <v>126</v>
      </c>
      <c r="C52" s="207" t="s">
        <v>127</v>
      </c>
      <c r="D52" s="21">
        <v>1065</v>
      </c>
      <c r="E52" s="21">
        <v>8412.53</v>
      </c>
      <c r="F52" s="21">
        <v>186013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195490.53</v>
      </c>
      <c r="R52" s="48"/>
    </row>
    <row r="53" s="5" customFormat="1" ht="17.25" customHeight="1" spans="1:18">
      <c r="A53" s="211"/>
      <c r="B53" s="24"/>
      <c r="C53" s="207" t="s">
        <v>128</v>
      </c>
      <c r="D53" s="21">
        <v>31716.98</v>
      </c>
      <c r="E53" s="21">
        <v>-36620</v>
      </c>
      <c r="F53" s="21"/>
      <c r="G53" s="21">
        <v>4524.93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-378.089999999997</v>
      </c>
      <c r="Q53" s="272"/>
      <c r="R53" s="48"/>
    </row>
    <row r="54" s="5" customFormat="1" ht="17.25" customHeight="1" spans="1:18">
      <c r="A54" s="211"/>
      <c r="B54" s="23"/>
      <c r="C54" s="207" t="s">
        <v>83</v>
      </c>
      <c r="D54" s="21">
        <v>0</v>
      </c>
      <c r="E54" s="21">
        <v>0</v>
      </c>
      <c r="F54" s="21"/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  <c r="Q54" s="272"/>
      <c r="R54" s="48"/>
    </row>
    <row r="55" s="5" customFormat="1" ht="17.25" customHeight="1" spans="1:18">
      <c r="A55" s="211"/>
      <c r="B55" s="40" t="s">
        <v>129</v>
      </c>
      <c r="C55" s="207" t="s">
        <v>129</v>
      </c>
      <c r="D55" s="21">
        <v>0</v>
      </c>
      <c r="E55" s="21">
        <v>0</v>
      </c>
      <c r="F55" s="21"/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  <c r="R55" s="48"/>
    </row>
    <row r="56" s="5" customFormat="1" ht="17.25" customHeight="1" spans="1:18">
      <c r="A56" s="212"/>
      <c r="B56" s="40" t="s">
        <v>130</v>
      </c>
      <c r="C56" s="207" t="s">
        <v>130</v>
      </c>
      <c r="D56" s="21">
        <v>0</v>
      </c>
      <c r="E56" s="21">
        <v>0</v>
      </c>
      <c r="F56" s="21"/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  <c r="R56" s="48"/>
    </row>
    <row r="57" s="5" customFormat="1" ht="17.25" customHeight="1" spans="1:18">
      <c r="A57" s="213" t="s">
        <v>131</v>
      </c>
      <c r="B57" s="26" t="s">
        <v>132</v>
      </c>
      <c r="C57" s="207" t="s">
        <v>132</v>
      </c>
      <c r="D57" s="21">
        <v>0</v>
      </c>
      <c r="E57" s="21">
        <v>0</v>
      </c>
      <c r="F57" s="21"/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  <c r="R57" s="48"/>
    </row>
    <row r="58" s="5" customFormat="1" ht="17.25" customHeight="1" spans="1:18">
      <c r="A58" s="214"/>
      <c r="B58" s="37" t="s">
        <v>133</v>
      </c>
      <c r="C58" s="207" t="s">
        <v>133</v>
      </c>
      <c r="D58" s="21">
        <v>0</v>
      </c>
      <c r="E58" s="21">
        <v>0</v>
      </c>
      <c r="F58" s="21"/>
      <c r="G58" s="21">
        <v>699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699</v>
      </c>
      <c r="Q58" s="272"/>
      <c r="R58" s="48"/>
    </row>
    <row r="59" s="5" customFormat="1" ht="17.25" customHeight="1" spans="1:18">
      <c r="A59" s="214"/>
      <c r="B59" s="37" t="s">
        <v>134</v>
      </c>
      <c r="C59" s="207" t="s">
        <v>135</v>
      </c>
      <c r="D59" s="21">
        <v>169103.84</v>
      </c>
      <c r="E59" s="21">
        <v>-77024.91</v>
      </c>
      <c r="F59" s="21">
        <v>103596.21</v>
      </c>
      <c r="G59" s="21">
        <v>5898.13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201573.27</v>
      </c>
      <c r="Q59" s="272"/>
      <c r="R59" s="48"/>
    </row>
    <row r="60" s="5" customFormat="1" ht="17.25" customHeight="1" spans="1:18">
      <c r="A60" s="214"/>
      <c r="B60" s="39"/>
      <c r="C60" s="207" t="s">
        <v>83</v>
      </c>
      <c r="D60" s="21">
        <v>0</v>
      </c>
      <c r="E60" s="21">
        <v>0</v>
      </c>
      <c r="F60" s="21"/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  <c r="Q60" s="272"/>
      <c r="R60" s="48"/>
    </row>
    <row r="61" s="5" customFormat="1" ht="17.25" customHeight="1" spans="1:18">
      <c r="A61" s="214"/>
      <c r="B61" s="40" t="s">
        <v>136</v>
      </c>
      <c r="C61" s="207" t="s">
        <v>136</v>
      </c>
      <c r="D61" s="21">
        <v>4768.14</v>
      </c>
      <c r="E61" s="21">
        <v>612.45</v>
      </c>
      <c r="F61" s="21">
        <v>95830.65</v>
      </c>
      <c r="G61" s="21">
        <v>704061.67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805272.91</v>
      </c>
      <c r="Q61" s="272"/>
      <c r="R61" s="48"/>
    </row>
    <row r="62" s="5" customFormat="1" ht="17.25" customHeight="1" spans="1:18">
      <c r="A62" s="215"/>
      <c r="B62" s="26" t="s">
        <v>137</v>
      </c>
      <c r="C62" s="207" t="s">
        <v>137</v>
      </c>
      <c r="D62" s="21">
        <v>0</v>
      </c>
      <c r="E62" s="21">
        <v>0</v>
      </c>
      <c r="F62" s="21">
        <v>46037.74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46037.74</v>
      </c>
      <c r="Q62" s="272"/>
      <c r="R62" s="48"/>
    </row>
    <row r="63" s="5" customFormat="1" ht="17.25" customHeight="1" spans="1:18">
      <c r="A63" s="216" t="s">
        <v>138</v>
      </c>
      <c r="B63" s="43" t="s">
        <v>139</v>
      </c>
      <c r="C63" s="207" t="s">
        <v>139</v>
      </c>
      <c r="D63" s="21">
        <v>0</v>
      </c>
      <c r="E63" s="21">
        <v>0</v>
      </c>
      <c r="F63" s="21">
        <v>42.73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42.73</v>
      </c>
      <c r="Q63" s="272"/>
      <c r="R63" s="48"/>
    </row>
    <row r="64" s="5" customFormat="1" ht="17.25" customHeight="1" spans="1:18">
      <c r="A64" s="217"/>
      <c r="B64" s="43" t="s">
        <v>140</v>
      </c>
      <c r="C64" s="207" t="s">
        <v>140</v>
      </c>
      <c r="D64" s="21">
        <v>0</v>
      </c>
      <c r="E64" s="21">
        <v>0</v>
      </c>
      <c r="F64" s="21"/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  <c r="R64" s="48"/>
    </row>
    <row r="65" s="5" customFormat="1" ht="17.25" customHeight="1" spans="1:18">
      <c r="A65" s="217"/>
      <c r="B65" s="43" t="s">
        <v>141</v>
      </c>
      <c r="C65" s="207" t="s">
        <v>141</v>
      </c>
      <c r="D65" s="21">
        <v>0</v>
      </c>
      <c r="E65" s="21">
        <v>0</v>
      </c>
      <c r="F65" s="21"/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  <c r="R65" s="48"/>
    </row>
    <row r="66" s="5" customFormat="1" ht="17.25" customHeight="1" spans="1:18">
      <c r="A66" s="217"/>
      <c r="B66" s="43" t="s">
        <v>142</v>
      </c>
      <c r="C66" s="207" t="s">
        <v>142</v>
      </c>
      <c r="D66" s="21">
        <v>0</v>
      </c>
      <c r="E66" s="21">
        <v>0</v>
      </c>
      <c r="F66" s="21"/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  <c r="R66" s="48"/>
    </row>
    <row r="67" s="5" customFormat="1" ht="17.25" customHeight="1" spans="1:18">
      <c r="A67" s="217"/>
      <c r="B67" s="43" t="s">
        <v>143</v>
      </c>
      <c r="C67" s="207" t="s">
        <v>143</v>
      </c>
      <c r="D67" s="21">
        <v>0</v>
      </c>
      <c r="E67" s="21">
        <v>0</v>
      </c>
      <c r="F67" s="21"/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  <c r="R67" s="48"/>
    </row>
    <row r="68" s="5" customFormat="1" ht="17.25" customHeight="1" spans="1:18">
      <c r="A68" s="217"/>
      <c r="B68" s="37" t="s">
        <v>144</v>
      </c>
      <c r="C68" s="207" t="s">
        <v>145</v>
      </c>
      <c r="D68" s="21">
        <v>268428.32</v>
      </c>
      <c r="E68" s="21">
        <v>66827.42</v>
      </c>
      <c r="F68" s="21">
        <v>351070.48</v>
      </c>
      <c r="G68" s="21">
        <v>289847.13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976173.35</v>
      </c>
      <c r="Q68" s="272"/>
      <c r="R68" s="48"/>
    </row>
    <row r="69" s="5" customFormat="1" ht="17.25" customHeight="1" spans="1:18">
      <c r="A69" s="217"/>
      <c r="B69" s="39"/>
      <c r="C69" s="207" t="s">
        <v>146</v>
      </c>
      <c r="D69" s="21">
        <v>976443</v>
      </c>
      <c r="E69" s="21">
        <v>1250917.65</v>
      </c>
      <c r="F69" s="21">
        <v>2007760.89</v>
      </c>
      <c r="G69" s="21">
        <v>3432018.31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7667139.85</v>
      </c>
      <c r="Q69" s="272"/>
      <c r="R69" s="48"/>
    </row>
    <row r="70" s="5" customFormat="1" ht="17.25" customHeight="1" spans="1:18">
      <c r="A70" s="217"/>
      <c r="B70" s="37" t="s">
        <v>147</v>
      </c>
      <c r="C70" s="206" t="s">
        <v>147</v>
      </c>
      <c r="D70" s="21">
        <v>52166.18</v>
      </c>
      <c r="E70" s="21">
        <v>8204.25</v>
      </c>
      <c r="F70" s="21">
        <v>104272.23</v>
      </c>
      <c r="G70" s="21">
        <v>58396.91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223039.57</v>
      </c>
      <c r="Q70" s="272"/>
      <c r="R70" s="48"/>
    </row>
    <row r="71" s="5" customFormat="1" ht="17.25" customHeight="1" spans="1:18">
      <c r="A71" s="217"/>
      <c r="B71" s="40" t="s">
        <v>148</v>
      </c>
      <c r="C71" s="207" t="s">
        <v>148</v>
      </c>
      <c r="D71" s="21"/>
      <c r="E71" s="21"/>
      <c r="F71" s="21"/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  <c r="Q71" s="272"/>
      <c r="R71" s="48"/>
    </row>
    <row r="72" s="5" customFormat="1" ht="17.25" customHeight="1" spans="1:18">
      <c r="A72" s="217"/>
      <c r="B72" s="40" t="s">
        <v>149</v>
      </c>
      <c r="C72" s="207" t="s">
        <v>149</v>
      </c>
      <c r="D72" s="21"/>
      <c r="E72" s="21"/>
      <c r="F72" s="21"/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  <c r="R72" s="48"/>
    </row>
    <row r="73" s="5" customFormat="1" ht="17.25" customHeight="1" spans="1:18">
      <c r="A73" s="217"/>
      <c r="B73" s="37" t="s">
        <v>150</v>
      </c>
      <c r="C73" s="207" t="s">
        <v>151</v>
      </c>
      <c r="D73" s="21"/>
      <c r="E73" s="21"/>
      <c r="F73" s="21"/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  <c r="R73" s="48"/>
    </row>
    <row r="74" s="5" customFormat="1" ht="17.25" customHeight="1" spans="1:18">
      <c r="A74" s="217"/>
      <c r="B74" s="39"/>
      <c r="C74" s="218" t="s">
        <v>152</v>
      </c>
      <c r="D74" s="21">
        <v>15482</v>
      </c>
      <c r="E74" s="21">
        <v>-13312</v>
      </c>
      <c r="F74" s="21">
        <v>67932.28</v>
      </c>
      <c r="G74" s="21">
        <v>21997.38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92099.66</v>
      </c>
      <c r="Q74" s="272"/>
      <c r="R74" s="48"/>
    </row>
    <row r="75" s="5" customFormat="1" ht="17.25" customHeight="1" spans="1:18">
      <c r="A75" s="219"/>
      <c r="B75" s="40" t="s">
        <v>153</v>
      </c>
      <c r="C75" s="207" t="s">
        <v>153</v>
      </c>
      <c r="D75" s="21">
        <v>0</v>
      </c>
      <c r="E75" s="21">
        <v>0</v>
      </c>
      <c r="F75" s="21"/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  <c r="Q75" s="272"/>
      <c r="R75" s="48"/>
    </row>
    <row r="76" s="5" customFormat="1" ht="17.25" customHeight="1" spans="1:18">
      <c r="A76" s="220" t="s">
        <v>154</v>
      </c>
      <c r="B76" s="19" t="s">
        <v>155</v>
      </c>
      <c r="C76" s="206" t="s">
        <v>155</v>
      </c>
      <c r="D76" s="21">
        <v>0</v>
      </c>
      <c r="E76" s="21">
        <v>0</v>
      </c>
      <c r="F76" s="21"/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  <c r="Q76" s="272"/>
      <c r="R76" s="48"/>
    </row>
    <row r="77" s="5" customFormat="1" ht="17.25" customHeight="1" spans="1:18">
      <c r="A77" s="221"/>
      <c r="B77" s="19" t="s">
        <v>156</v>
      </c>
      <c r="C77" s="207" t="s">
        <v>157</v>
      </c>
      <c r="D77" s="21">
        <v>38376</v>
      </c>
      <c r="E77" s="21">
        <v>-50000</v>
      </c>
      <c r="F77" s="21">
        <v>4811132.06</v>
      </c>
      <c r="G77" s="21">
        <v>70145.27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4869653.33</v>
      </c>
      <c r="Q77" s="272"/>
      <c r="R77" s="48"/>
    </row>
    <row r="78" s="5" customFormat="1" ht="17.25" customHeight="1" spans="1:18">
      <c r="A78" s="221"/>
      <c r="B78" s="23"/>
      <c r="C78" s="218" t="s">
        <v>158</v>
      </c>
      <c r="D78" s="21"/>
      <c r="E78" s="21"/>
      <c r="F78" s="21"/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  <c r="Q78" s="272"/>
      <c r="R78" s="48"/>
    </row>
    <row r="79" s="5" customFormat="1" ht="17.25" customHeight="1" spans="1:18">
      <c r="A79" s="222"/>
      <c r="B79" s="26" t="s">
        <v>159</v>
      </c>
      <c r="C79" s="207" t="s">
        <v>159</v>
      </c>
      <c r="D79" s="21">
        <v>0</v>
      </c>
      <c r="E79" s="21">
        <v>0</v>
      </c>
      <c r="F79" s="21">
        <v>-3182.7</v>
      </c>
      <c r="G79" s="21">
        <v>-6858.92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-10041.62</v>
      </c>
      <c r="Q79" s="272"/>
      <c r="R79" s="48"/>
    </row>
    <row r="80" s="5" customFormat="1" ht="17.25" customHeight="1" spans="1:18">
      <c r="A80" s="223" t="s">
        <v>160</v>
      </c>
      <c r="B80" s="26" t="s">
        <v>161</v>
      </c>
      <c r="C80" s="207" t="s">
        <v>161</v>
      </c>
      <c r="D80" s="21">
        <v>14.31</v>
      </c>
      <c r="E80" s="21">
        <v>97.08</v>
      </c>
      <c r="F80" s="21">
        <v>161.17</v>
      </c>
      <c r="G80" s="21">
        <v>859.62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1132.18</v>
      </c>
      <c r="Q80" s="272"/>
      <c r="R80" s="48"/>
    </row>
    <row r="81" s="5" customFormat="1" ht="17.25" customHeight="1" spans="1:18">
      <c r="A81" s="224"/>
      <c r="B81" s="26" t="s">
        <v>162</v>
      </c>
      <c r="C81" s="25" t="s">
        <v>162</v>
      </c>
      <c r="D81" s="21">
        <v>0</v>
      </c>
      <c r="E81" s="21">
        <v>0</v>
      </c>
      <c r="F81" s="21"/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  <c r="R81" s="48"/>
    </row>
    <row r="82" s="5" customFormat="1" ht="17.25" customHeight="1" spans="1:18">
      <c r="A82" s="224"/>
      <c r="B82" s="19" t="s">
        <v>163</v>
      </c>
      <c r="C82" s="25" t="s">
        <v>164</v>
      </c>
      <c r="D82" s="21">
        <v>0</v>
      </c>
      <c r="E82" s="21">
        <v>0</v>
      </c>
      <c r="F82" s="21"/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  <c r="R82" s="48"/>
    </row>
    <row r="83" s="5" customFormat="1" ht="17.25" customHeight="1" spans="1:18">
      <c r="A83" s="224"/>
      <c r="B83" s="24"/>
      <c r="C83" s="25" t="s">
        <v>165</v>
      </c>
      <c r="D83" s="21">
        <v>0</v>
      </c>
      <c r="E83" s="21">
        <v>0</v>
      </c>
      <c r="F83" s="21"/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  <c r="R83" s="48"/>
    </row>
    <row r="84" s="5" customFormat="1" ht="17.25" customHeight="1" spans="1:18">
      <c r="A84" s="224"/>
      <c r="B84" s="23"/>
      <c r="C84" s="25" t="s">
        <v>166</v>
      </c>
      <c r="D84" s="21">
        <v>0</v>
      </c>
      <c r="E84" s="21">
        <v>0</v>
      </c>
      <c r="F84" s="21"/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  <c r="R84" s="48"/>
    </row>
    <row r="85" s="5" customFormat="1" ht="17.25" customHeight="1" spans="1:18">
      <c r="A85" s="225"/>
      <c r="B85" s="26" t="s">
        <v>167</v>
      </c>
      <c r="C85" s="207" t="s">
        <v>167</v>
      </c>
      <c r="D85" s="21">
        <v>0</v>
      </c>
      <c r="E85" s="21">
        <v>0</v>
      </c>
      <c r="F85" s="21"/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  <c r="R85" s="48"/>
    </row>
    <row r="86" s="5" customFormat="1" ht="17.25" customHeight="1" spans="1:18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  <c r="R86" s="48"/>
    </row>
    <row r="87" s="5" customFormat="1" ht="17.25" customHeight="1" spans="1:18">
      <c r="A87" s="227"/>
      <c r="B87" s="26" t="s">
        <v>170</v>
      </c>
      <c r="C87" s="207" t="s">
        <v>170</v>
      </c>
      <c r="D87" s="21">
        <v>0</v>
      </c>
      <c r="E87" s="21">
        <v>0</v>
      </c>
      <c r="F87" s="21"/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  <c r="R87" s="48"/>
    </row>
    <row r="88" s="5" customFormat="1" ht="17.25" customHeight="1" spans="1:18">
      <c r="A88" s="227"/>
      <c r="B88" s="26" t="s">
        <v>171</v>
      </c>
      <c r="C88" s="207" t="s">
        <v>171</v>
      </c>
      <c r="D88" s="21">
        <v>0</v>
      </c>
      <c r="E88" s="21">
        <v>0</v>
      </c>
      <c r="F88" s="21"/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  <c r="R88" s="48"/>
    </row>
    <row r="89" s="5" customFormat="1" ht="17.25" customHeight="1" spans="1:18">
      <c r="A89" s="228"/>
      <c r="B89" s="26" t="s">
        <v>172</v>
      </c>
      <c r="C89" s="207" t="s">
        <v>172</v>
      </c>
      <c r="D89" s="21">
        <v>0</v>
      </c>
      <c r="E89" s="21">
        <v>0</v>
      </c>
      <c r="F89" s="21"/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  <c r="R89" s="48"/>
    </row>
    <row r="90" s="5" customFormat="1" ht="17.25" customHeight="1" spans="1:18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  <c r="R90" s="48"/>
    </row>
    <row r="91" s="5" customFormat="1" ht="17.25" customHeight="1" spans="1:18">
      <c r="A91" s="230"/>
      <c r="B91" s="26" t="s">
        <v>175</v>
      </c>
      <c r="C91" s="207" t="s">
        <v>175</v>
      </c>
      <c r="D91" s="21">
        <v>0</v>
      </c>
      <c r="E91" s="21">
        <v>0</v>
      </c>
      <c r="F91" s="21"/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  <c r="R91" s="48"/>
    </row>
    <row r="92" s="5" customFormat="1" ht="17.25" customHeight="1" spans="1:18">
      <c r="A92" s="231"/>
      <c r="B92" s="26" t="s">
        <v>83</v>
      </c>
      <c r="C92" s="207" t="s">
        <v>83</v>
      </c>
      <c r="D92" s="21">
        <v>0</v>
      </c>
      <c r="E92" s="21"/>
      <c r="F92" s="21">
        <v>640.4</v>
      </c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640.4</v>
      </c>
      <c r="Q92" s="272"/>
      <c r="R92" s="48"/>
    </row>
    <row r="93" s="7" customFormat="1" ht="15" customHeight="1" spans="1:18">
      <c r="A93" s="232" t="s">
        <v>12</v>
      </c>
      <c r="B93" s="233"/>
      <c r="C93" s="234"/>
      <c r="D93" s="58">
        <f>SUM(D6:D92)</f>
        <v>3672164.72</v>
      </c>
      <c r="E93" s="58">
        <f t="shared" ref="E93:P93" si="2">SUM(E6:E92)</f>
        <v>2458037.83</v>
      </c>
      <c r="F93" s="58">
        <f t="shared" si="2"/>
        <v>9520677.43</v>
      </c>
      <c r="G93" s="58">
        <f>SUM(G6:G92)</f>
        <v>7179390.63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22830270.61</v>
      </c>
      <c r="Q93" s="278"/>
      <c r="R93" s="48"/>
    </row>
    <row r="94" s="7" customFormat="1" ht="15" customHeight="1" spans="1:18">
      <c r="A94" s="275" t="s">
        <v>176</v>
      </c>
      <c r="B94" s="276"/>
      <c r="C94" s="277"/>
      <c r="D94" s="87">
        <v>2254792.35</v>
      </c>
      <c r="E94" s="87">
        <v>1694079.09</v>
      </c>
      <c r="F94" s="87">
        <v>3679355.34</v>
      </c>
      <c r="G94" s="87">
        <v>3545880.07</v>
      </c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11174106.85</v>
      </c>
      <c r="R94" s="48"/>
    </row>
    <row r="95" s="7" customFormat="1" ht="15" customHeight="1" spans="1:18">
      <c r="A95" s="61" t="s">
        <v>308</v>
      </c>
      <c r="B95" s="62"/>
      <c r="C95" s="63"/>
      <c r="D95" s="87">
        <v>764479.17</v>
      </c>
      <c r="E95" s="87">
        <v>981191.54</v>
      </c>
      <c r="F95" s="87">
        <v>1369856.08</v>
      </c>
      <c r="G95" s="87">
        <v>1539744.22</v>
      </c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3">SUM(D95:O95)</f>
        <v>4655271.01</v>
      </c>
      <c r="R95" s="48"/>
    </row>
    <row r="96" s="7" customFormat="1" ht="15" customHeight="1" spans="1:18">
      <c r="A96" s="275" t="s">
        <v>177</v>
      </c>
      <c r="B96" s="276"/>
      <c r="C96" s="277"/>
      <c r="D96" s="87"/>
      <c r="E96" s="87"/>
      <c r="F96" s="87"/>
      <c r="G96" s="87"/>
      <c r="H96" s="236"/>
      <c r="I96" s="236"/>
      <c r="J96" s="236"/>
      <c r="K96" s="236"/>
      <c r="L96" s="236"/>
      <c r="M96" s="236"/>
      <c r="N96" s="236"/>
      <c r="O96" s="236"/>
      <c r="P96" s="47">
        <f t="shared" si="3"/>
        <v>0</v>
      </c>
      <c r="R96" s="48"/>
    </row>
    <row r="97" s="7" customFormat="1" ht="15" customHeight="1" spans="1:18">
      <c r="A97" s="61" t="s">
        <v>308</v>
      </c>
      <c r="B97" s="62"/>
      <c r="C97" s="63"/>
      <c r="D97" s="87"/>
      <c r="E97" s="87"/>
      <c r="F97" s="87"/>
      <c r="G97" s="87"/>
      <c r="H97" s="236"/>
      <c r="I97" s="236"/>
      <c r="J97" s="236"/>
      <c r="K97" s="236"/>
      <c r="L97" s="236"/>
      <c r="M97" s="236"/>
      <c r="N97" s="236"/>
      <c r="O97" s="236"/>
      <c r="P97" s="47">
        <f t="shared" si="3"/>
        <v>0</v>
      </c>
      <c r="R97" s="48"/>
    </row>
    <row r="98" s="7" customFormat="1" ht="15" customHeight="1" spans="1:18">
      <c r="A98" s="275" t="s">
        <v>309</v>
      </c>
      <c r="B98" s="276"/>
      <c r="C98" s="277"/>
      <c r="D98" s="87">
        <v>1182468.48</v>
      </c>
      <c r="E98" s="87">
        <v>595038.6</v>
      </c>
      <c r="F98" s="87">
        <v>5689814.6</v>
      </c>
      <c r="G98" s="87">
        <v>3434362.22</v>
      </c>
      <c r="H98" s="236"/>
      <c r="I98" s="236"/>
      <c r="J98" s="236"/>
      <c r="K98" s="236"/>
      <c r="L98" s="236"/>
      <c r="M98" s="236"/>
      <c r="N98" s="236"/>
      <c r="O98" s="236"/>
      <c r="P98" s="47">
        <f t="shared" si="3"/>
        <v>10901683.9</v>
      </c>
      <c r="R98" s="48"/>
    </row>
    <row r="99" s="7" customFormat="1" ht="15" customHeight="1" spans="1:18">
      <c r="A99" s="61" t="s">
        <v>308</v>
      </c>
      <c r="B99" s="62"/>
      <c r="C99" s="63"/>
      <c r="D99" s="87">
        <v>480392.15</v>
      </c>
      <c r="E99" s="87">
        <v>336553.53</v>
      </c>
      <c r="F99" s="87">
        <v>988975.29</v>
      </c>
      <c r="G99" s="87">
        <v>2182121.22</v>
      </c>
      <c r="H99" s="236"/>
      <c r="I99" s="236"/>
      <c r="J99" s="236"/>
      <c r="K99" s="236"/>
      <c r="L99" s="236"/>
      <c r="M99" s="236"/>
      <c r="N99" s="236"/>
      <c r="O99" s="236"/>
      <c r="P99" s="47">
        <f t="shared" si="3"/>
        <v>3988042.19</v>
      </c>
      <c r="R99" s="48"/>
    </row>
    <row r="100" s="7" customFormat="1" ht="15" customHeight="1" spans="1:18">
      <c r="A100" s="252" t="s">
        <v>179</v>
      </c>
      <c r="B100" s="253"/>
      <c r="C100" s="254"/>
      <c r="D100" s="87"/>
      <c r="E100" s="87"/>
      <c r="F100" s="87"/>
      <c r="G100" s="87"/>
      <c r="H100" s="236"/>
      <c r="I100" s="236"/>
      <c r="J100" s="236"/>
      <c r="K100" s="236"/>
      <c r="L100" s="236"/>
      <c r="M100" s="236"/>
      <c r="N100" s="236"/>
      <c r="O100" s="236"/>
      <c r="P100" s="47"/>
      <c r="R100" s="48"/>
    </row>
    <row r="101" s="7" customFormat="1" ht="15" customHeight="1" spans="1:18">
      <c r="A101" s="61" t="s">
        <v>308</v>
      </c>
      <c r="B101" s="62"/>
      <c r="C101" s="63"/>
      <c r="D101" s="87"/>
      <c r="E101" s="87"/>
      <c r="F101" s="87"/>
      <c r="G101" s="87"/>
      <c r="H101" s="236"/>
      <c r="I101" s="236"/>
      <c r="J101" s="236"/>
      <c r="K101" s="236"/>
      <c r="L101" s="236"/>
      <c r="M101" s="236"/>
      <c r="N101" s="236"/>
      <c r="O101" s="236"/>
      <c r="P101" s="47"/>
      <c r="R101" s="48"/>
    </row>
    <row r="102" s="7" customFormat="1" ht="15" customHeight="1" spans="1:18">
      <c r="A102" s="275" t="s">
        <v>180</v>
      </c>
      <c r="B102" s="276"/>
      <c r="C102" s="277"/>
      <c r="D102" s="87">
        <v>234903.89</v>
      </c>
      <c r="E102" s="87">
        <v>168920.14</v>
      </c>
      <c r="F102" s="87">
        <v>151507.49</v>
      </c>
      <c r="G102" s="87">
        <v>199148.34</v>
      </c>
      <c r="H102" s="236"/>
      <c r="I102" s="236"/>
      <c r="J102" s="236"/>
      <c r="K102" s="236"/>
      <c r="L102" s="236"/>
      <c r="M102" s="236"/>
      <c r="N102" s="236"/>
      <c r="O102" s="236"/>
      <c r="P102" s="47">
        <f t="shared" si="3"/>
        <v>754479.86</v>
      </c>
      <c r="R102" s="48"/>
    </row>
    <row r="103" s="7" customFormat="1" ht="15" customHeight="1" spans="1:18">
      <c r="A103" s="61" t="s">
        <v>308</v>
      </c>
      <c r="B103" s="62"/>
      <c r="C103" s="63"/>
      <c r="D103" s="87">
        <v>0</v>
      </c>
      <c r="E103" s="87">
        <v>1.81898940354586e-12</v>
      </c>
      <c r="F103" s="87">
        <v>-1.81898940354586e-11</v>
      </c>
      <c r="G103" s="87">
        <v>0</v>
      </c>
      <c r="H103" s="236"/>
      <c r="I103" s="236"/>
      <c r="J103" s="236"/>
      <c r="K103" s="236"/>
      <c r="L103" s="236"/>
      <c r="M103" s="236"/>
      <c r="N103" s="236"/>
      <c r="O103" s="236"/>
      <c r="P103" s="47">
        <f t="shared" si="3"/>
        <v>-1.63709046319127e-11</v>
      </c>
      <c r="R103" s="48"/>
    </row>
    <row r="104" s="190" customFormat="1" ht="15" customHeight="1" spans="1:18">
      <c r="A104" s="190" t="s">
        <v>181</v>
      </c>
      <c r="E104" s="6"/>
      <c r="F104" s="6"/>
      <c r="R104" s="48"/>
    </row>
    <row r="105" ht="19.5" customHeight="1" spans="1:18">
      <c r="A105" s="190"/>
      <c r="D105" s="240">
        <f>D93-D94-D98-D102</f>
        <v>1.28056854009628e-9</v>
      </c>
      <c r="E105" s="240">
        <f t="shared" ref="E105:P105" si="4">E93-E94-E98-E102</f>
        <v>0</v>
      </c>
      <c r="F105" s="240">
        <f t="shared" si="4"/>
        <v>2.3283064365387e-10</v>
      </c>
      <c r="G105" s="240">
        <f t="shared" si="4"/>
        <v>-1.07684172689915e-9</v>
      </c>
      <c r="H105" s="240">
        <f t="shared" si="4"/>
        <v>0</v>
      </c>
      <c r="I105" s="240">
        <f t="shared" si="4"/>
        <v>0</v>
      </c>
      <c r="J105" s="240">
        <f t="shared" si="4"/>
        <v>0</v>
      </c>
      <c r="K105" s="240">
        <f t="shared" si="4"/>
        <v>0</v>
      </c>
      <c r="L105" s="240">
        <f t="shared" si="4"/>
        <v>0</v>
      </c>
      <c r="M105" s="240">
        <f t="shared" si="4"/>
        <v>0</v>
      </c>
      <c r="N105" s="240">
        <f t="shared" si="4"/>
        <v>0</v>
      </c>
      <c r="O105" s="240">
        <f t="shared" si="4"/>
        <v>0</v>
      </c>
      <c r="P105" s="240">
        <f t="shared" si="4"/>
        <v>0</v>
      </c>
      <c r="R105" s="48"/>
    </row>
    <row r="106" s="6" customFormat="1" ht="13.5" spans="4:16">
      <c r="D106" s="240">
        <f>D95+D97+D99+D103-(D68+D69)</f>
        <v>0</v>
      </c>
      <c r="E106" s="240">
        <f t="shared" ref="E106:P106" si="5">E95+E97+E99+E103-(E68+E69)</f>
        <v>0</v>
      </c>
      <c r="F106" s="240">
        <f t="shared" si="5"/>
        <v>0</v>
      </c>
      <c r="G106" s="240">
        <f t="shared" si="5"/>
        <v>0</v>
      </c>
      <c r="H106" s="240">
        <f t="shared" si="5"/>
        <v>0</v>
      </c>
      <c r="I106" s="240">
        <f t="shared" si="5"/>
        <v>0</v>
      </c>
      <c r="J106" s="240">
        <f t="shared" si="5"/>
        <v>0</v>
      </c>
      <c r="K106" s="240">
        <f t="shared" si="5"/>
        <v>0</v>
      </c>
      <c r="L106" s="240">
        <f t="shared" si="5"/>
        <v>0</v>
      </c>
      <c r="M106" s="240">
        <f t="shared" si="5"/>
        <v>0</v>
      </c>
      <c r="N106" s="240">
        <f t="shared" si="5"/>
        <v>0</v>
      </c>
      <c r="O106" s="240">
        <f t="shared" si="5"/>
        <v>0</v>
      </c>
      <c r="P106" s="240">
        <f t="shared" si="5"/>
        <v>0</v>
      </c>
    </row>
    <row r="107" spans="9:14">
      <c r="I107" s="68"/>
      <c r="N107" s="68"/>
    </row>
    <row r="108" spans="4:16">
      <c r="D108" s="96"/>
      <c r="G108" s="68"/>
      <c r="P108" s="242"/>
    </row>
    <row r="109" spans="4:16">
      <c r="D109" s="68"/>
      <c r="F109" s="157"/>
      <c r="P109" s="242"/>
    </row>
    <row r="110" s="6" customFormat="1" ht="12" spans="4:4">
      <c r="D110" s="241"/>
    </row>
  </sheetData>
  <autoFilter ref="B5:P109">
    <extLst/>
  </autoFilter>
  <mergeCells count="42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6:P106">
    <cfRule type="cellIs" dxfId="0" priority="1" stopIfTrue="1" operator="equal">
      <formula>"no"</formula>
    </cfRule>
  </conditionalFormatting>
  <conditionalFormatting sqref="A41:C41 O41:Q41 S41:XFD41 G41:L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Q41 A41:C41 H41:L41 S41:XFD41">
    <cfRule type="cellIs" dxfId="0" priority="5" stopIfTrue="1" operator="equal">
      <formula>"no"</formula>
    </cfRule>
  </conditionalFormatting>
  <conditionalFormatting sqref="A41:C41 G41:Q41 S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9"/>
  <sheetViews>
    <sheetView workbookViewId="0">
      <pane xSplit="3" ySplit="5" topLeftCell="D91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310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-16114.2</v>
      </c>
      <c r="E6" s="21">
        <v>-3600</v>
      </c>
      <c r="F6" s="21"/>
      <c r="G6" s="21">
        <v>0</v>
      </c>
      <c r="H6" s="21"/>
      <c r="I6" s="46"/>
      <c r="J6" s="21"/>
      <c r="K6" s="46"/>
      <c r="L6" s="21"/>
      <c r="M6" s="21"/>
      <c r="N6" s="21"/>
      <c r="O6" s="21"/>
      <c r="P6" s="47">
        <f>SUM(D6:O6)</f>
        <v>-19714.2</v>
      </c>
      <c r="Q6" s="48">
        <f>P6+P7+P8+P19+P22+P23+P24+P25+P26</f>
        <v>-159262.9</v>
      </c>
    </row>
    <row r="7" s="5" customFormat="1" ht="17.25" customHeight="1" spans="1:16">
      <c r="A7" s="199"/>
      <c r="B7" s="23"/>
      <c r="C7" s="20" t="s">
        <v>71</v>
      </c>
      <c r="D7" s="21">
        <v>-142512.7</v>
      </c>
      <c r="E7" s="21"/>
      <c r="F7" s="21"/>
      <c r="G7" s="21">
        <v>0</v>
      </c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-142512.7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>
        <v>0</v>
      </c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>
        <v>0</v>
      </c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>
        <v>0</v>
      </c>
      <c r="H10" s="21"/>
      <c r="I10" s="46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>
        <v>0</v>
      </c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>
        <v>0</v>
      </c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>
        <v>0</v>
      </c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>
        <v>0</v>
      </c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>
        <v>0</v>
      </c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>
        <v>0</v>
      </c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>
        <v>0</v>
      </c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E18" s="21"/>
      <c r="F18" s="21"/>
      <c r="G18" s="21">
        <v>0</v>
      </c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2964</v>
      </c>
      <c r="E19" s="21"/>
      <c r="F19" s="21"/>
      <c r="G19" s="21">
        <v>0</v>
      </c>
      <c r="H19" s="21"/>
      <c r="I19" s="46"/>
      <c r="J19" s="21"/>
      <c r="K19" s="46"/>
      <c r="L19" s="21"/>
      <c r="M19" s="21"/>
      <c r="N19" s="21"/>
      <c r="O19" s="21"/>
      <c r="P19" s="47">
        <f t="shared" si="0"/>
        <v>2964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>
        <v>0</v>
      </c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>
        <v>0</v>
      </c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>
        <v>0</v>
      </c>
      <c r="H22" s="21"/>
      <c r="I22" s="46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>
        <v>0</v>
      </c>
      <c r="H23" s="21"/>
      <c r="I23" s="46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>
        <v>0</v>
      </c>
      <c r="H24" s="21"/>
      <c r="I24" s="46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>
        <v>0</v>
      </c>
      <c r="H25" s="21"/>
      <c r="I25" s="46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>
        <v>0</v>
      </c>
      <c r="H26" s="21"/>
      <c r="I26" s="46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>
        <v>0</v>
      </c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>
        <v>0</v>
      </c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>
        <v>0</v>
      </c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>
        <v>0</v>
      </c>
      <c r="H30" s="21"/>
      <c r="I30" s="46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>
        <v>0</v>
      </c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>
        <v>0</v>
      </c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>
        <v>1500</v>
      </c>
      <c r="E33" s="21">
        <v>-1250</v>
      </c>
      <c r="F33" s="21"/>
      <c r="G33" s="21">
        <v>0</v>
      </c>
      <c r="H33" s="21"/>
      <c r="I33" s="46"/>
      <c r="J33" s="21"/>
      <c r="K33" s="46"/>
      <c r="L33" s="21"/>
      <c r="M33" s="21"/>
      <c r="N33" s="21"/>
      <c r="O33" s="21"/>
      <c r="P33" s="47">
        <f t="shared" si="0"/>
        <v>250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1106</v>
      </c>
      <c r="E34" s="21">
        <v>-1106</v>
      </c>
      <c r="F34" s="21">
        <v>-894</v>
      </c>
      <c r="G34" s="21">
        <v>0</v>
      </c>
      <c r="H34" s="21"/>
      <c r="I34" s="46"/>
      <c r="J34" s="21"/>
      <c r="K34" s="46"/>
      <c r="L34" s="21"/>
      <c r="M34" s="21"/>
      <c r="N34" s="21"/>
      <c r="O34" s="21"/>
      <c r="P34" s="47">
        <f t="shared" si="0"/>
        <v>-894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>
        <v>0</v>
      </c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21112.5</v>
      </c>
      <c r="E36" s="21">
        <v>-6000</v>
      </c>
      <c r="F36" s="21"/>
      <c r="G36" s="21">
        <v>0</v>
      </c>
      <c r="H36" s="21"/>
      <c r="I36" s="46"/>
      <c r="J36" s="21"/>
      <c r="K36" s="46"/>
      <c r="L36" s="21"/>
      <c r="M36" s="21"/>
      <c r="N36" s="21"/>
      <c r="O36" s="21"/>
      <c r="P36" s="47">
        <f t="shared" si="0"/>
        <v>15112.5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79479</v>
      </c>
      <c r="E37" s="21">
        <v>-2871</v>
      </c>
      <c r="F37" s="21"/>
      <c r="G37" s="21">
        <v>-2129</v>
      </c>
      <c r="H37" s="21"/>
      <c r="I37" s="46"/>
      <c r="J37" s="21"/>
      <c r="K37" s="46"/>
      <c r="L37" s="21"/>
      <c r="M37" s="21"/>
      <c r="N37" s="21"/>
      <c r="O37" s="21"/>
      <c r="P37" s="47">
        <f t="shared" si="0"/>
        <v>74479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>
        <v>0</v>
      </c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>
        <v>0</v>
      </c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>
        <v>0</v>
      </c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>
        <v>0</v>
      </c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>
        <v>0</v>
      </c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>
        <v>0</v>
      </c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>
        <v>0</v>
      </c>
      <c r="H44" s="21"/>
      <c r="I44" s="46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>
        <v>0</v>
      </c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0</v>
      </c>
      <c r="E46" s="21">
        <v>0</v>
      </c>
      <c r="F46" s="21">
        <v>1.13686837721616e-13</v>
      </c>
      <c r="G46" s="21">
        <v>0</v>
      </c>
      <c r="H46" s="21"/>
      <c r="I46" s="46"/>
      <c r="J46" s="21"/>
      <c r="K46" s="46"/>
      <c r="L46" s="21"/>
      <c r="M46" s="21"/>
      <c r="N46" s="21"/>
      <c r="O46" s="21"/>
      <c r="P46" s="47">
        <f t="shared" si="0"/>
        <v>1.13686837721616e-13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>
        <v>0</v>
      </c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>
        <v>0</v>
      </c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>
        <v>0</v>
      </c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>
        <v>0</v>
      </c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>
        <v>0</v>
      </c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>
        <v>0</v>
      </c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>
        <v>0</v>
      </c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>
        <v>0</v>
      </c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>
        <v>0</v>
      </c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>
        <v>0</v>
      </c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>
        <v>0</v>
      </c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>
        <v>0</v>
      </c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>
        <v>0</v>
      </c>
      <c r="H59" s="21"/>
      <c r="I59" s="46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>
        <v>0</v>
      </c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>
        <v>0</v>
      </c>
      <c r="H61" s="21"/>
      <c r="I61" s="46"/>
      <c r="J61" s="21"/>
      <c r="K61" s="46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>
        <v>0</v>
      </c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>
        <v>0</v>
      </c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>
        <v>0</v>
      </c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>
        <v>0</v>
      </c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>
        <v>0</v>
      </c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>
        <v>0</v>
      </c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>
        <v>180</v>
      </c>
      <c r="E68" s="21">
        <v>5000</v>
      </c>
      <c r="F68" s="21"/>
      <c r="G68" s="21">
        <v>0</v>
      </c>
      <c r="H68" s="21"/>
      <c r="I68" s="46"/>
      <c r="J68" s="21"/>
      <c r="K68" s="46"/>
      <c r="L68" s="21"/>
      <c r="M68" s="21"/>
      <c r="N68" s="21"/>
      <c r="O68" s="21"/>
      <c r="P68" s="47">
        <f t="shared" si="0"/>
        <v>5180</v>
      </c>
    </row>
    <row r="69" s="5" customFormat="1" ht="17.25" customHeight="1" spans="1:16">
      <c r="A69" s="217"/>
      <c r="B69" s="39"/>
      <c r="C69" s="207" t="s">
        <v>146</v>
      </c>
      <c r="D69" s="21">
        <v>15905.4</v>
      </c>
      <c r="E69" s="21">
        <v>0</v>
      </c>
      <c r="F69" s="21"/>
      <c r="G69" s="21">
        <v>0</v>
      </c>
      <c r="H69" s="21"/>
      <c r="I69" s="46"/>
      <c r="J69" s="21"/>
      <c r="K69" s="46"/>
      <c r="L69" s="21"/>
      <c r="M69" s="21"/>
      <c r="N69" s="21"/>
      <c r="O69" s="21"/>
      <c r="P69" s="47">
        <f t="shared" si="0"/>
        <v>15905.4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3526.79</v>
      </c>
      <c r="E70" s="21">
        <v>84.91</v>
      </c>
      <c r="F70" s="21"/>
      <c r="G70" s="21">
        <v>3274.85</v>
      </c>
      <c r="H70" s="21"/>
      <c r="I70" s="46"/>
      <c r="J70" s="21"/>
      <c r="K70" s="46"/>
      <c r="L70" s="21"/>
      <c r="M70" s="21"/>
      <c r="N70" s="21"/>
      <c r="O70" s="21"/>
      <c r="P70" s="47">
        <f t="shared" si="0"/>
        <v>6886.55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>
        <v>0</v>
      </c>
      <c r="H71" s="21"/>
      <c r="I71" s="46"/>
      <c r="J71" s="21"/>
      <c r="K71" s="46"/>
      <c r="L71" s="21"/>
      <c r="M71" s="21"/>
      <c r="N71" s="21"/>
      <c r="O71" s="21"/>
      <c r="P71" s="47">
        <f t="shared" ref="P71:P101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>
        <v>0</v>
      </c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>
        <v>0</v>
      </c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>
        <v>0</v>
      </c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>
        <v>0</v>
      </c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>
        <v>0</v>
      </c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>
        <v>0</v>
      </c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>
        <v>0</v>
      </c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>
        <v>0</v>
      </c>
      <c r="H79" s="21"/>
      <c r="I79" s="46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>
        <v>0</v>
      </c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>
        <v>0</v>
      </c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>
        <v>0</v>
      </c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>
        <v>0</v>
      </c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>
        <v>0</v>
      </c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>
        <v>0</v>
      </c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>
        <v>0</v>
      </c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>
        <v>0</v>
      </c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>
        <v>0</v>
      </c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>
        <v>0</v>
      </c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>
        <v>0</v>
      </c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>
        <v>0</v>
      </c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>
        <v>0</v>
      </c>
      <c r="H92" s="21"/>
      <c r="I92" s="46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-32853.21</v>
      </c>
      <c r="E93" s="58">
        <f t="shared" ref="E93:P93" si="2">SUM(E6:E92)</f>
        <v>-9742.09</v>
      </c>
      <c r="F93" s="58">
        <f t="shared" si="2"/>
        <v>-894</v>
      </c>
      <c r="G93" s="58">
        <f t="shared" si="2"/>
        <v>1145.85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-42343.45</v>
      </c>
    </row>
    <row r="94" s="7" customFormat="1" ht="15" customHeight="1" spans="1:16">
      <c r="A94" s="252" t="s">
        <v>176</v>
      </c>
      <c r="B94" s="253"/>
      <c r="C94" s="254"/>
      <c r="D94" s="95"/>
      <c r="E94" s="95"/>
      <c r="F94" s="95"/>
      <c r="G94" s="95"/>
      <c r="H94" s="87"/>
      <c r="I94" s="87"/>
      <c r="J94" s="87"/>
      <c r="K94" s="87"/>
      <c r="L94" s="236"/>
      <c r="M94" s="236"/>
      <c r="N94" s="236"/>
      <c r="O94" s="236"/>
      <c r="P94" s="47">
        <f t="shared" si="1"/>
        <v>0</v>
      </c>
    </row>
    <row r="95" s="7" customFormat="1" ht="15" customHeight="1" spans="1:16">
      <c r="A95" s="61" t="s">
        <v>308</v>
      </c>
      <c r="B95" s="62"/>
      <c r="C95" s="63"/>
      <c r="D95" s="95"/>
      <c r="E95" s="95"/>
      <c r="F95" s="95"/>
      <c r="G95" s="95"/>
      <c r="H95" s="87"/>
      <c r="I95" s="87"/>
      <c r="J95" s="87"/>
      <c r="K95" s="87"/>
      <c r="L95" s="236"/>
      <c r="M95" s="236"/>
      <c r="N95" s="236"/>
      <c r="O95" s="236"/>
      <c r="P95" s="47"/>
    </row>
    <row r="96" s="7" customFormat="1" ht="15" customHeight="1" spans="1:16">
      <c r="A96" s="252" t="s">
        <v>177</v>
      </c>
      <c r="B96" s="253"/>
      <c r="C96" s="254"/>
      <c r="D96" s="95"/>
      <c r="E96" s="95"/>
      <c r="F96" s="95"/>
      <c r="G96" s="95"/>
      <c r="H96" s="87"/>
      <c r="I96" s="87"/>
      <c r="J96" s="87"/>
      <c r="K96" s="87"/>
      <c r="L96" s="236"/>
      <c r="M96" s="236"/>
      <c r="N96" s="236"/>
      <c r="O96" s="236"/>
      <c r="P96" s="47">
        <f t="shared" si="1"/>
        <v>0</v>
      </c>
    </row>
    <row r="97" s="7" customFormat="1" ht="15" customHeight="1" spans="1:16">
      <c r="A97" s="61" t="s">
        <v>308</v>
      </c>
      <c r="B97" s="62"/>
      <c r="C97" s="63"/>
      <c r="D97" s="95"/>
      <c r="E97" s="95"/>
      <c r="F97" s="95"/>
      <c r="G97" s="95"/>
      <c r="H97" s="87"/>
      <c r="I97" s="87"/>
      <c r="J97" s="87"/>
      <c r="K97" s="87"/>
      <c r="L97" s="236"/>
      <c r="M97" s="236"/>
      <c r="N97" s="236"/>
      <c r="O97" s="236"/>
      <c r="P97" s="47"/>
    </row>
    <row r="98" s="7" customFormat="1" ht="15" customHeight="1" spans="1:16">
      <c r="A98" s="252" t="s">
        <v>178</v>
      </c>
      <c r="B98" s="253"/>
      <c r="C98" s="254"/>
      <c r="D98" s="95"/>
      <c r="E98" s="95"/>
      <c r="F98" s="95"/>
      <c r="G98" s="95"/>
      <c r="H98" s="87"/>
      <c r="I98" s="87"/>
      <c r="J98" s="87"/>
      <c r="K98" s="87"/>
      <c r="L98" s="236"/>
      <c r="M98" s="236"/>
      <c r="N98" s="236"/>
      <c r="O98" s="236"/>
      <c r="P98" s="47">
        <f t="shared" si="1"/>
        <v>0</v>
      </c>
    </row>
    <row r="99" s="7" customFormat="1" ht="15" customHeight="1" spans="1:16">
      <c r="A99" s="61" t="s">
        <v>308</v>
      </c>
      <c r="B99" s="62"/>
      <c r="C99" s="63"/>
      <c r="D99" s="95"/>
      <c r="E99" s="95"/>
      <c r="F99" s="95"/>
      <c r="G99" s="95"/>
      <c r="H99" s="87"/>
      <c r="I99" s="87"/>
      <c r="J99" s="87"/>
      <c r="K99" s="87"/>
      <c r="L99" s="236"/>
      <c r="M99" s="236"/>
      <c r="N99" s="236"/>
      <c r="O99" s="236"/>
      <c r="P99" s="47"/>
    </row>
    <row r="100" s="7" customFormat="1" ht="15" customHeight="1" spans="1:16">
      <c r="A100" s="252" t="s">
        <v>179</v>
      </c>
      <c r="B100" s="253"/>
      <c r="C100" s="254"/>
      <c r="D100" s="271">
        <f>D93</f>
        <v>-32853.21</v>
      </c>
      <c r="E100" s="271">
        <f t="shared" ref="E100:O100" si="4">E93</f>
        <v>-9742.09</v>
      </c>
      <c r="F100" s="271">
        <f t="shared" si="4"/>
        <v>-894</v>
      </c>
      <c r="G100" s="271">
        <f t="shared" si="4"/>
        <v>1145.85</v>
      </c>
      <c r="H100" s="271">
        <f t="shared" si="4"/>
        <v>0</v>
      </c>
      <c r="I100" s="271">
        <f t="shared" si="4"/>
        <v>0</v>
      </c>
      <c r="J100" s="271">
        <f t="shared" si="4"/>
        <v>0</v>
      </c>
      <c r="K100" s="271">
        <f t="shared" si="4"/>
        <v>0</v>
      </c>
      <c r="L100" s="271">
        <f t="shared" si="4"/>
        <v>0</v>
      </c>
      <c r="M100" s="271">
        <f t="shared" si="4"/>
        <v>0</v>
      </c>
      <c r="N100" s="271">
        <f t="shared" si="4"/>
        <v>0</v>
      </c>
      <c r="O100" s="271">
        <f t="shared" si="4"/>
        <v>0</v>
      </c>
      <c r="P100" s="47">
        <f t="shared" si="1"/>
        <v>-42343.45</v>
      </c>
    </row>
    <row r="101" s="7" customFormat="1" ht="15" customHeight="1" spans="1:16">
      <c r="A101" s="61" t="s">
        <v>308</v>
      </c>
      <c r="B101" s="62"/>
      <c r="C101" s="63"/>
      <c r="D101" s="271">
        <f>D69+D68</f>
        <v>16085.4</v>
      </c>
      <c r="E101" s="271">
        <f t="shared" ref="E101:O101" si="5">E69+E68</f>
        <v>5000</v>
      </c>
      <c r="F101" s="271">
        <f t="shared" si="5"/>
        <v>0</v>
      </c>
      <c r="G101" s="271">
        <f t="shared" si="5"/>
        <v>0</v>
      </c>
      <c r="H101" s="271">
        <f t="shared" si="5"/>
        <v>0</v>
      </c>
      <c r="I101" s="271">
        <f t="shared" si="5"/>
        <v>0</v>
      </c>
      <c r="J101" s="271">
        <f t="shared" si="5"/>
        <v>0</v>
      </c>
      <c r="K101" s="271">
        <f t="shared" si="5"/>
        <v>0</v>
      </c>
      <c r="L101" s="271">
        <f t="shared" si="5"/>
        <v>0</v>
      </c>
      <c r="M101" s="271">
        <f t="shared" si="5"/>
        <v>0</v>
      </c>
      <c r="N101" s="271">
        <f t="shared" si="5"/>
        <v>0</v>
      </c>
      <c r="O101" s="271">
        <f t="shared" si="5"/>
        <v>0</v>
      </c>
      <c r="P101" s="47">
        <f t="shared" si="1"/>
        <v>21085.4</v>
      </c>
    </row>
    <row r="102" s="7" customFormat="1" ht="15" customHeight="1" spans="1:16">
      <c r="A102" s="268" t="s">
        <v>180</v>
      </c>
      <c r="B102" s="269"/>
      <c r="C102" s="270"/>
      <c r="D102" s="95"/>
      <c r="E102" s="95"/>
      <c r="F102" s="95"/>
      <c r="G102" s="95"/>
      <c r="H102" s="87"/>
      <c r="I102" s="87"/>
      <c r="J102" s="87"/>
      <c r="K102" s="87"/>
      <c r="L102" s="236"/>
      <c r="M102" s="236"/>
      <c r="N102" s="236"/>
      <c r="O102" s="236"/>
      <c r="P102" s="47"/>
    </row>
    <row r="103" s="7" customFormat="1" ht="15" customHeight="1" spans="1:16">
      <c r="A103" s="61" t="s">
        <v>308</v>
      </c>
      <c r="B103" s="62"/>
      <c r="C103" s="63"/>
      <c r="D103" s="95"/>
      <c r="E103" s="95"/>
      <c r="F103" s="95"/>
      <c r="G103" s="95"/>
      <c r="H103" s="87"/>
      <c r="I103" s="87"/>
      <c r="J103" s="87"/>
      <c r="K103" s="87"/>
      <c r="L103" s="236"/>
      <c r="M103" s="236"/>
      <c r="N103" s="236"/>
      <c r="O103" s="236"/>
      <c r="P103" s="47"/>
    </row>
    <row r="104" ht="19.5" customHeight="1" spans="4:16">
      <c r="D104" s="240">
        <f>D93-D100</f>
        <v>0</v>
      </c>
      <c r="E104" s="240">
        <f t="shared" ref="E104:P104" si="6">E93-E100</f>
        <v>0</v>
      </c>
      <c r="F104" s="240">
        <f t="shared" si="6"/>
        <v>0</v>
      </c>
      <c r="G104" s="240">
        <f t="shared" si="6"/>
        <v>0</v>
      </c>
      <c r="H104" s="240">
        <f t="shared" si="6"/>
        <v>0</v>
      </c>
      <c r="I104" s="240">
        <f t="shared" si="6"/>
        <v>0</v>
      </c>
      <c r="J104" s="240">
        <f t="shared" si="6"/>
        <v>0</v>
      </c>
      <c r="K104" s="240">
        <f t="shared" si="6"/>
        <v>0</v>
      </c>
      <c r="L104" s="240">
        <f t="shared" si="6"/>
        <v>0</v>
      </c>
      <c r="M104" s="240">
        <f t="shared" si="6"/>
        <v>0</v>
      </c>
      <c r="N104" s="240">
        <f t="shared" si="6"/>
        <v>0</v>
      </c>
      <c r="O104" s="240">
        <f t="shared" si="6"/>
        <v>0</v>
      </c>
      <c r="P104" s="240">
        <f t="shared" si="6"/>
        <v>0</v>
      </c>
    </row>
    <row r="105" s="6" customFormat="1" ht="13.5" spans="4:16">
      <c r="D105" s="240">
        <f>D101-D68-D69</f>
        <v>0</v>
      </c>
      <c r="E105" s="240">
        <f t="shared" ref="E105:P105" si="7">E101-E68-E69</f>
        <v>0</v>
      </c>
      <c r="F105" s="240">
        <f t="shared" si="7"/>
        <v>0</v>
      </c>
      <c r="G105" s="240">
        <f t="shared" si="7"/>
        <v>0</v>
      </c>
      <c r="H105" s="240">
        <f t="shared" si="7"/>
        <v>0</v>
      </c>
      <c r="I105" s="240">
        <f t="shared" si="7"/>
        <v>0</v>
      </c>
      <c r="J105" s="240">
        <f t="shared" si="7"/>
        <v>0</v>
      </c>
      <c r="K105" s="240">
        <f t="shared" si="7"/>
        <v>0</v>
      </c>
      <c r="L105" s="240">
        <f t="shared" si="7"/>
        <v>0</v>
      </c>
      <c r="M105" s="240">
        <f t="shared" si="7"/>
        <v>0</v>
      </c>
      <c r="N105" s="240">
        <f t="shared" si="7"/>
        <v>0</v>
      </c>
      <c r="O105" s="240">
        <f t="shared" si="7"/>
        <v>0</v>
      </c>
      <c r="P105" s="240">
        <f t="shared" si="7"/>
        <v>0</v>
      </c>
    </row>
    <row r="106" spans="16:16">
      <c r="P106" s="68"/>
    </row>
    <row r="107" spans="7:7">
      <c r="G107" s="68"/>
    </row>
    <row r="109" s="6" customFormat="1" ht="12" spans="4:4">
      <c r="D109" s="241"/>
    </row>
  </sheetData>
  <autoFilter ref="B5:P101">
    <extLst/>
  </autoFilter>
  <mergeCells count="41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3:C103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J41"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6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2" stopIfTrue="1" operator="equal">
      <formula>"no"</formula>
    </cfRule>
    <cfRule type="cellIs" dxfId="0" priority="34" stopIfTrue="1" operator="equal">
      <formula>"no"</formula>
    </cfRule>
    <cfRule type="cellIs" dxfId="0" priority="36" stopIfTrue="1" operator="equal">
      <formula>"no"</formula>
    </cfRule>
    <cfRule type="cellIs" dxfId="0" priority="39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5:P105">
    <cfRule type="cellIs" dxfId="0" priority="1" stopIfTrue="1" operator="equal">
      <formula>"no"</formula>
    </cfRule>
  </conditionalFormatting>
  <conditionalFormatting sqref="O41:IV41 A41:H41 J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H41 J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 J41:L41">
    <cfRule type="cellIs" dxfId="0" priority="6" stopIfTrue="1" operator="equal">
      <formula>"no"</formula>
    </cfRule>
  </conditionalFormatting>
  <conditionalFormatting sqref="A41:C41 E41:H41 J41:IF41">
    <cfRule type="cellIs" dxfId="0" priority="5" stopIfTrue="1" operator="equal">
      <formula>"no"</formula>
    </cfRule>
  </conditionalFormatting>
  <conditionalFormatting sqref="A105:C105 Q105:IK105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9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311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46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46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46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46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/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/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>
        <v>-921.39</v>
      </c>
      <c r="E44" s="21"/>
      <c r="F44" s="21"/>
      <c r="G44" s="21"/>
      <c r="H44" s="21"/>
      <c r="I44" s="46"/>
      <c r="J44" s="21"/>
      <c r="K44" s="46"/>
      <c r="L44" s="21"/>
      <c r="M44" s="21"/>
      <c r="N44" s="21"/>
      <c r="O44" s="21"/>
      <c r="P44" s="47">
        <f t="shared" si="0"/>
        <v>-921.39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/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/>
      <c r="H46" s="21"/>
      <c r="I46" s="46"/>
      <c r="J46" s="21"/>
      <c r="K46" s="46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/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/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/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/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/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/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/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/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/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/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/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/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>
        <v>179318.7</v>
      </c>
      <c r="F59" s="21"/>
      <c r="G59" s="21"/>
      <c r="H59" s="21"/>
      <c r="I59" s="46"/>
      <c r="J59" s="21"/>
      <c r="K59" s="46"/>
      <c r="L59" s="21"/>
      <c r="M59" s="21"/>
      <c r="N59" s="21"/>
      <c r="O59" s="21"/>
      <c r="P59" s="47">
        <f t="shared" si="0"/>
        <v>179318.7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/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/>
      <c r="H61" s="21"/>
      <c r="I61" s="46"/>
      <c r="J61" s="21"/>
      <c r="K61" s="46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/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/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/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/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/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/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/>
      <c r="H68" s="21"/>
      <c r="I68" s="46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563.17</v>
      </c>
      <c r="E69" s="21">
        <v>82515.23</v>
      </c>
      <c r="F69" s="21">
        <v>81473.49</v>
      </c>
      <c r="G69" s="21">
        <v>59301.73</v>
      </c>
      <c r="H69" s="21"/>
      <c r="I69" s="46"/>
      <c r="J69" s="21"/>
      <c r="K69" s="46"/>
      <c r="L69" s="21"/>
      <c r="M69" s="21"/>
      <c r="N69" s="21"/>
      <c r="O69" s="21"/>
      <c r="P69" s="47">
        <f t="shared" si="0"/>
        <v>223853.62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/>
      <c r="F70" s="21"/>
      <c r="G70" s="21"/>
      <c r="H70" s="21"/>
      <c r="I70" s="46"/>
      <c r="J70" s="21"/>
      <c r="K70" s="46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/>
      <c r="H71" s="21"/>
      <c r="I71" s="46"/>
      <c r="J71" s="21"/>
      <c r="K71" s="46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/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/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/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/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/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/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/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/>
      <c r="H79" s="21"/>
      <c r="I79" s="46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/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/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/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/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/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/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/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/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/>
      <c r="H92" s="21"/>
      <c r="I92" s="46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-358.22</v>
      </c>
      <c r="E93" s="58">
        <f t="shared" ref="E93:P93" si="2">SUM(E6:E92)</f>
        <v>261833.93</v>
      </c>
      <c r="F93" s="58">
        <f t="shared" si="2"/>
        <v>81473.49</v>
      </c>
      <c r="G93" s="58">
        <f>SUM(G6:G92)</f>
        <v>59301.73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402250.93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46"/>
      <c r="J94" s="236"/>
      <c r="K94" s="46"/>
      <c r="L94" s="236"/>
      <c r="M94" s="236"/>
      <c r="N94" s="236"/>
      <c r="O94" s="236"/>
      <c r="P94" s="236"/>
    </row>
    <row r="95" s="7" customFormat="1" ht="15" customHeight="1" spans="1:16">
      <c r="A95" s="61" t="s">
        <v>308</v>
      </c>
      <c r="B95" s="62"/>
      <c r="C95" s="63"/>
      <c r="D95" s="235"/>
      <c r="E95" s="47"/>
      <c r="F95" s="47"/>
      <c r="G95" s="236"/>
      <c r="H95" s="236"/>
      <c r="I95" s="46"/>
      <c r="J95" s="236"/>
      <c r="K95" s="46"/>
      <c r="L95" s="236"/>
      <c r="M95" s="236"/>
      <c r="N95" s="236"/>
      <c r="O95" s="236"/>
      <c r="P95" s="236"/>
    </row>
    <row r="96" s="7" customFormat="1" ht="15" customHeight="1" spans="1:16">
      <c r="A96" s="252" t="s">
        <v>177</v>
      </c>
      <c r="B96" s="253"/>
      <c r="C96" s="254"/>
      <c r="D96" s="235">
        <v>-358.22</v>
      </c>
      <c r="E96" s="235">
        <v>261833.93</v>
      </c>
      <c r="F96" s="235">
        <v>81473.49</v>
      </c>
      <c r="G96" s="235">
        <v>59301.73</v>
      </c>
      <c r="H96" s="235"/>
      <c r="I96" s="235"/>
      <c r="J96" s="235"/>
      <c r="K96" s="235"/>
      <c r="L96" s="235"/>
      <c r="M96" s="235"/>
      <c r="N96" s="235"/>
      <c r="O96" s="235"/>
      <c r="P96" s="236">
        <f>SUM(D96:O96)</f>
        <v>402250.93</v>
      </c>
    </row>
    <row r="97" s="7" customFormat="1" ht="15" customHeight="1" spans="1:16">
      <c r="A97" s="61" t="s">
        <v>308</v>
      </c>
      <c r="B97" s="62"/>
      <c r="C97" s="63"/>
      <c r="D97" s="235">
        <v>563.17</v>
      </c>
      <c r="E97" s="235">
        <v>82515.23</v>
      </c>
      <c r="F97" s="235">
        <v>81473.49</v>
      </c>
      <c r="G97" s="235">
        <v>59301.73</v>
      </c>
      <c r="H97" s="235"/>
      <c r="I97" s="235"/>
      <c r="J97" s="235"/>
      <c r="K97" s="235"/>
      <c r="L97" s="235"/>
      <c r="M97" s="235"/>
      <c r="N97" s="235"/>
      <c r="O97" s="235"/>
      <c r="P97" s="236">
        <f>SUM(D97:O97)</f>
        <v>223853.62</v>
      </c>
    </row>
    <row r="98" s="7" customFormat="1" ht="15" customHeight="1" spans="1:16">
      <c r="A98" s="252" t="s">
        <v>178</v>
      </c>
      <c r="B98" s="253"/>
      <c r="C98" s="254"/>
      <c r="D98" s="47"/>
      <c r="E98" s="47"/>
      <c r="F98" s="47"/>
      <c r="G98" s="236"/>
      <c r="H98" s="236"/>
      <c r="I98" s="46"/>
      <c r="J98" s="236"/>
      <c r="K98" s="46"/>
      <c r="L98" s="236"/>
      <c r="M98" s="236"/>
      <c r="N98" s="236"/>
      <c r="O98" s="236"/>
      <c r="P98" s="236"/>
    </row>
    <row r="99" s="7" customFormat="1" ht="15" customHeight="1" spans="1:16">
      <c r="A99" s="61" t="s">
        <v>308</v>
      </c>
      <c r="B99" s="62"/>
      <c r="C99" s="63"/>
      <c r="D99" s="47"/>
      <c r="E99" s="47"/>
      <c r="F99" s="47"/>
      <c r="G99" s="236"/>
      <c r="H99" s="236"/>
      <c r="I99" s="46"/>
      <c r="J99" s="236"/>
      <c r="K99" s="255"/>
      <c r="L99" s="236"/>
      <c r="M99" s="236"/>
      <c r="N99" s="236"/>
      <c r="O99" s="236"/>
      <c r="P99" s="236"/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</row>
    <row r="101" s="7" customFormat="1" ht="15" customHeight="1" spans="1:16">
      <c r="A101" s="61" t="s">
        <v>308</v>
      </c>
      <c r="B101" s="62"/>
      <c r="C101" s="63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</row>
    <row r="102" s="7" customFormat="1" ht="15" customHeight="1" spans="1:16">
      <c r="A102" s="268" t="s">
        <v>180</v>
      </c>
      <c r="B102" s="269"/>
      <c r="C102" s="270"/>
      <c r="D102" s="47"/>
      <c r="E102" s="47"/>
      <c r="F102" s="47"/>
      <c r="G102" s="236"/>
      <c r="H102" s="236"/>
      <c r="I102" s="46"/>
      <c r="J102" s="236"/>
      <c r="K102" s="46"/>
      <c r="L102" s="236"/>
      <c r="M102" s="236"/>
      <c r="N102" s="236"/>
      <c r="O102" s="236"/>
      <c r="P102" s="236"/>
    </row>
    <row r="103" s="7" customFormat="1" ht="15" customHeight="1" spans="1:16">
      <c r="A103" s="61" t="s">
        <v>308</v>
      </c>
      <c r="B103" s="62"/>
      <c r="C103" s="63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</row>
    <row r="104" ht="19.5" customHeight="1" spans="4:16">
      <c r="D104" s="239" t="b">
        <f>SUM(D94,D96,D98,D100,D102)=D93</f>
        <v>1</v>
      </c>
      <c r="E104" s="239" t="b">
        <f t="shared" ref="E104:P104" si="4">SUM(E94,E96,E98,E100,E102)=E93</f>
        <v>1</v>
      </c>
      <c r="F104" s="239" t="b">
        <f t="shared" si="4"/>
        <v>1</v>
      </c>
      <c r="G104" s="239" t="b">
        <f t="shared" si="4"/>
        <v>1</v>
      </c>
      <c r="H104" s="239" t="b">
        <f t="shared" si="4"/>
        <v>1</v>
      </c>
      <c r="I104" s="239" t="b">
        <f t="shared" si="4"/>
        <v>1</v>
      </c>
      <c r="J104" s="239" t="b">
        <f t="shared" si="4"/>
        <v>1</v>
      </c>
      <c r="K104" s="239" t="b">
        <f t="shared" si="4"/>
        <v>1</v>
      </c>
      <c r="L104" s="239" t="b">
        <f t="shared" si="4"/>
        <v>1</v>
      </c>
      <c r="M104" s="239" t="b">
        <f t="shared" si="4"/>
        <v>1</v>
      </c>
      <c r="N104" s="239" t="b">
        <f t="shared" si="4"/>
        <v>1</v>
      </c>
      <c r="O104" s="239" t="b">
        <f t="shared" si="4"/>
        <v>1</v>
      </c>
      <c r="P104" s="239" t="b">
        <f t="shared" si="4"/>
        <v>1</v>
      </c>
    </row>
    <row r="105" s="6" customFormat="1" ht="13.5" spans="4:16">
      <c r="D105" s="240" t="b">
        <f>(D95+D97+D99+D101+D103)=(D68+D69)</f>
        <v>1</v>
      </c>
      <c r="E105" s="240" t="b">
        <f t="shared" ref="E105:P105" si="5">(E95+E97+E99+E101+E103)=(E68+E69)</f>
        <v>1</v>
      </c>
      <c r="F105" s="240" t="b">
        <f t="shared" si="5"/>
        <v>1</v>
      </c>
      <c r="G105" s="240" t="b">
        <f t="shared" si="5"/>
        <v>1</v>
      </c>
      <c r="H105" s="240" t="b">
        <f t="shared" si="5"/>
        <v>1</v>
      </c>
      <c r="I105" s="240" t="b">
        <f t="shared" si="5"/>
        <v>1</v>
      </c>
      <c r="J105" s="240" t="b">
        <f t="shared" si="5"/>
        <v>1</v>
      </c>
      <c r="K105" s="240" t="b">
        <f t="shared" si="5"/>
        <v>1</v>
      </c>
      <c r="L105" s="240" t="b">
        <f t="shared" si="5"/>
        <v>1</v>
      </c>
      <c r="M105" s="240" t="b">
        <f t="shared" si="5"/>
        <v>1</v>
      </c>
      <c r="N105" s="240" t="b">
        <f t="shared" si="5"/>
        <v>1</v>
      </c>
      <c r="O105" s="240" t="b">
        <f t="shared" si="5"/>
        <v>1</v>
      </c>
      <c r="P105" s="240" t="b">
        <f t="shared" si="5"/>
        <v>1</v>
      </c>
    </row>
    <row r="106" spans="16:16">
      <c r="P106" s="68">
        <f>P105-P93</f>
        <v>-402249.93</v>
      </c>
    </row>
    <row r="107" spans="7:7">
      <c r="G107" s="68">
        <f t="shared" ref="G107" si="6">G102+G100+G98+G96+G94-G93</f>
        <v>0</v>
      </c>
    </row>
    <row r="109" s="6" customFormat="1" ht="12" spans="4:4">
      <c r="D109" s="241"/>
    </row>
  </sheetData>
  <autoFilter ref="B5:P101">
    <extLst/>
  </autoFilter>
  <mergeCells count="41">
    <mergeCell ref="A1:D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3:C103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J41"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6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2" stopIfTrue="1" operator="equal">
      <formula>"no"</formula>
    </cfRule>
    <cfRule type="cellIs" dxfId="0" priority="34" stopIfTrue="1" operator="equal">
      <formula>"no"</formula>
    </cfRule>
    <cfRule type="cellIs" dxfId="0" priority="36" stopIfTrue="1" operator="equal">
      <formula>"no"</formula>
    </cfRule>
    <cfRule type="cellIs" dxfId="0" priority="39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5:P105">
    <cfRule type="cellIs" dxfId="0" priority="1" stopIfTrue="1" operator="equal">
      <formula>"no"</formula>
    </cfRule>
  </conditionalFormatting>
  <conditionalFormatting sqref="O41:IV41 A41:H41 J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H41 J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 J41:L41">
    <cfRule type="cellIs" dxfId="0" priority="6" stopIfTrue="1" operator="equal">
      <formula>"no"</formula>
    </cfRule>
  </conditionalFormatting>
  <conditionalFormatting sqref="A41:C41 E41:H41 J41:IF41">
    <cfRule type="cellIs" dxfId="0" priority="5" stopIfTrue="1" operator="equal">
      <formula>"no"</formula>
    </cfRule>
  </conditionalFormatting>
  <conditionalFormatting sqref="A105:C105 Q105:IK105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1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6.625" style="10" customWidth="1"/>
    <col min="5" max="5" width="14.875" style="6" customWidth="1"/>
    <col min="6" max="6" width="13.125" style="6" customWidth="1"/>
    <col min="7" max="7" width="13.625" style="10" customWidth="1"/>
    <col min="8" max="8" width="11.5" style="10" customWidth="1"/>
    <col min="9" max="9" width="13.875" style="10" customWidth="1"/>
    <col min="10" max="10" width="11.5" style="10" customWidth="1"/>
    <col min="11" max="12" width="13.25" style="10" customWidth="1"/>
    <col min="13" max="14" width="12.75" style="10" customWidth="1"/>
    <col min="15" max="15" width="16.3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312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51257.34</v>
      </c>
      <c r="E6" s="21">
        <v>-14601.78</v>
      </c>
      <c r="F6" s="21">
        <v>64932.75</v>
      </c>
      <c r="G6" s="21">
        <v>2642.98</v>
      </c>
      <c r="H6" s="21"/>
      <c r="I6" s="21"/>
      <c r="J6" s="21"/>
      <c r="K6" s="46"/>
      <c r="L6" s="21"/>
      <c r="M6" s="21"/>
      <c r="N6" s="21"/>
      <c r="O6" s="21"/>
      <c r="P6" s="47">
        <f>SUM(D6:O6)</f>
        <v>104231.29</v>
      </c>
      <c r="Q6" s="48">
        <f>P6+P7+P8+P19+P22+P23+P24+P25+P26</f>
        <v>246818.99</v>
      </c>
    </row>
    <row r="7" s="5" customFormat="1" ht="17.25" customHeight="1" spans="1:16">
      <c r="A7" s="199"/>
      <c r="B7" s="23"/>
      <c r="C7" s="20" t="s">
        <v>71</v>
      </c>
      <c r="D7" s="21">
        <v>123112.81</v>
      </c>
      <c r="E7" s="21">
        <v>1873.5</v>
      </c>
      <c r="F7" s="21">
        <v>1866.74</v>
      </c>
      <c r="G7" s="21">
        <v>1697.33</v>
      </c>
      <c r="H7" s="21"/>
      <c r="I7" s="21"/>
      <c r="J7" s="21"/>
      <c r="K7" s="46"/>
      <c r="L7" s="21"/>
      <c r="M7" s="21"/>
      <c r="N7" s="21"/>
      <c r="O7" s="21"/>
      <c r="P7" s="47">
        <f t="shared" ref="P7:P70" si="0">SUM(D7:O7)</f>
        <v>128550.38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21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21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21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21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>
        <v>400</v>
      </c>
      <c r="F14" s="21">
        <v>0</v>
      </c>
      <c r="G14" s="21">
        <v>50</v>
      </c>
      <c r="H14" s="21"/>
      <c r="I14" s="21"/>
      <c r="J14" s="21"/>
      <c r="K14" s="46"/>
      <c r="L14" s="21"/>
      <c r="M14" s="21"/>
      <c r="N14" s="21"/>
      <c r="O14" s="21"/>
      <c r="P14" s="47">
        <f t="shared" si="0"/>
        <v>450</v>
      </c>
    </row>
    <row r="15" s="5" customFormat="1" ht="17.25" customHeight="1" spans="1:16">
      <c r="A15" s="199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21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21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92" t="s">
        <v>212</v>
      </c>
      <c r="D18" s="21"/>
      <c r="E18" s="21"/>
      <c r="F18" s="21">
        <v>0</v>
      </c>
      <c r="G18" s="21">
        <v>0</v>
      </c>
      <c r="H18" s="21"/>
      <c r="I18" s="21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1842</v>
      </c>
      <c r="E19" s="21">
        <v>1842</v>
      </c>
      <c r="F19" s="21">
        <v>1842</v>
      </c>
      <c r="G19" s="21">
        <v>666</v>
      </c>
      <c r="H19" s="21"/>
      <c r="I19" s="21"/>
      <c r="J19" s="21"/>
      <c r="K19" s="46"/>
      <c r="L19" s="21"/>
      <c r="M19" s="21"/>
      <c r="N19" s="21"/>
      <c r="O19" s="21"/>
      <c r="P19" s="47">
        <f t="shared" si="0"/>
        <v>6192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21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21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E22" s="21">
        <v>2000.16</v>
      </c>
      <c r="F22" s="21">
        <v>-364.08</v>
      </c>
      <c r="G22" s="21">
        <v>682.08</v>
      </c>
      <c r="H22" s="21"/>
      <c r="I22" s="21"/>
      <c r="J22" s="21"/>
      <c r="K22" s="46"/>
      <c r="L22" s="21"/>
      <c r="M22" s="21"/>
      <c r="N22" s="21"/>
      <c r="O22" s="21"/>
      <c r="P22" s="47">
        <f t="shared" si="0"/>
        <v>2318.16</v>
      </c>
    </row>
    <row r="23" s="5" customFormat="1" ht="17.25" customHeight="1" spans="1:16">
      <c r="A23" s="199"/>
      <c r="B23" s="24"/>
      <c r="C23" s="25" t="s">
        <v>89</v>
      </c>
      <c r="D23" s="21">
        <v>2000.16</v>
      </c>
      <c r="E23" s="21">
        <v>62.63</v>
      </c>
      <c r="F23" s="21">
        <v>20</v>
      </c>
      <c r="G23" s="21">
        <v>-55.51</v>
      </c>
      <c r="H23" s="21"/>
      <c r="I23" s="21"/>
      <c r="J23" s="21"/>
      <c r="K23" s="46"/>
      <c r="L23" s="21"/>
      <c r="M23" s="21"/>
      <c r="N23" s="21"/>
      <c r="O23" s="21"/>
      <c r="P23" s="47">
        <f t="shared" si="0"/>
        <v>2027.28</v>
      </c>
    </row>
    <row r="24" s="5" customFormat="1" ht="17.25" customHeight="1" spans="1:16">
      <c r="A24" s="199"/>
      <c r="B24" s="24"/>
      <c r="C24" s="25" t="s">
        <v>90</v>
      </c>
      <c r="D24" s="21">
        <v>62.63</v>
      </c>
      <c r="E24" s="21">
        <v>57.85</v>
      </c>
      <c r="F24" s="21">
        <v>51.87</v>
      </c>
      <c r="G24" s="21">
        <v>26.91</v>
      </c>
      <c r="H24" s="21"/>
      <c r="I24" s="21"/>
      <c r="J24" s="21"/>
      <c r="K24" s="46"/>
      <c r="L24" s="21"/>
      <c r="M24" s="21"/>
      <c r="N24" s="21"/>
      <c r="O24" s="21"/>
      <c r="P24" s="47">
        <f t="shared" si="0"/>
        <v>199.26</v>
      </c>
    </row>
    <row r="25" s="5" customFormat="1" ht="17.25" customHeight="1" spans="1:16">
      <c r="A25" s="199"/>
      <c r="B25" s="24"/>
      <c r="C25" s="25" t="s">
        <v>91</v>
      </c>
      <c r="D25" s="21">
        <v>57.85</v>
      </c>
      <c r="E25" s="21">
        <v>1040.48</v>
      </c>
      <c r="F25" s="21">
        <v>1040.48</v>
      </c>
      <c r="G25" s="21">
        <v>-95.29</v>
      </c>
      <c r="H25" s="21"/>
      <c r="I25" s="21"/>
      <c r="J25" s="21"/>
      <c r="K25" s="46"/>
      <c r="L25" s="21"/>
      <c r="M25" s="21"/>
      <c r="N25" s="21"/>
      <c r="O25" s="21"/>
      <c r="P25" s="47">
        <f t="shared" si="0"/>
        <v>2043.52</v>
      </c>
    </row>
    <row r="26" s="5" customFormat="1" ht="17.25" customHeight="1" spans="1:16">
      <c r="A26" s="199"/>
      <c r="B26" s="23"/>
      <c r="C26" s="25" t="s">
        <v>92</v>
      </c>
      <c r="D26" s="21">
        <v>1046.03</v>
      </c>
      <c r="E26" s="21">
        <v>113.33</v>
      </c>
      <c r="F26" s="21">
        <v>113.33</v>
      </c>
      <c r="G26" s="21">
        <v>-15.59</v>
      </c>
      <c r="H26" s="21"/>
      <c r="I26" s="21"/>
      <c r="J26" s="21"/>
      <c r="K26" s="46"/>
      <c r="L26" s="21"/>
      <c r="M26" s="21"/>
      <c r="N26" s="21"/>
      <c r="O26" s="21"/>
      <c r="P26" s="47">
        <f t="shared" si="0"/>
        <v>1257.1</v>
      </c>
    </row>
    <row r="27" s="5" customFormat="1" ht="17.25" customHeight="1" spans="1:16">
      <c r="A27" s="200"/>
      <c r="B27" s="19" t="s">
        <v>93</v>
      </c>
      <c r="C27" s="20" t="s">
        <v>93</v>
      </c>
      <c r="D27" s="21">
        <v>113.84</v>
      </c>
      <c r="E27" s="21">
        <v>0</v>
      </c>
      <c r="F27" s="21">
        <v>0</v>
      </c>
      <c r="G27" s="21">
        <v>0</v>
      </c>
      <c r="H27" s="21"/>
      <c r="I27" s="21"/>
      <c r="J27" s="21"/>
      <c r="K27" s="46"/>
      <c r="L27" s="21"/>
      <c r="M27" s="21"/>
      <c r="N27" s="21"/>
      <c r="O27" s="21"/>
      <c r="P27" s="47">
        <f t="shared" si="0"/>
        <v>113.84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21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>
        <v>0</v>
      </c>
      <c r="F29" s="21">
        <v>63.38</v>
      </c>
      <c r="G29" s="21">
        <v>0</v>
      </c>
      <c r="H29" s="21"/>
      <c r="I29" s="21"/>
      <c r="J29" s="21"/>
      <c r="K29" s="46"/>
      <c r="L29" s="21"/>
      <c r="M29" s="21"/>
      <c r="N29" s="21"/>
      <c r="O29" s="21"/>
      <c r="P29" s="47">
        <f t="shared" si="0"/>
        <v>63.38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21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21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21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5049.51</v>
      </c>
      <c r="E34" s="21"/>
      <c r="F34" s="87">
        <v>1822.2</v>
      </c>
      <c r="G34" s="21">
        <v>28412.16</v>
      </c>
      <c r="H34" s="21"/>
      <c r="I34" s="21"/>
      <c r="J34" s="21"/>
      <c r="K34" s="46"/>
      <c r="L34" s="21"/>
      <c r="M34" s="21"/>
      <c r="N34" s="21"/>
      <c r="O34" s="21"/>
      <c r="P34" s="47">
        <f t="shared" si="0"/>
        <v>35283.87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0</v>
      </c>
      <c r="H36" s="21"/>
      <c r="I36" s="21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28341</v>
      </c>
      <c r="E37" s="21">
        <v>1440</v>
      </c>
      <c r="F37" s="21">
        <v>2718</v>
      </c>
      <c r="G37" s="21">
        <v>4149</v>
      </c>
      <c r="H37" s="21"/>
      <c r="I37" s="21"/>
      <c r="J37" s="21"/>
      <c r="K37" s="46"/>
      <c r="L37" s="21"/>
      <c r="M37" s="21"/>
      <c r="N37" s="21"/>
      <c r="O37" s="21"/>
      <c r="P37" s="47">
        <f t="shared" si="0"/>
        <v>36648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21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>
        <v>0</v>
      </c>
      <c r="F39" s="21">
        <v>2041</v>
      </c>
      <c r="G39" s="21">
        <v>-2041</v>
      </c>
      <c r="H39" s="21"/>
      <c r="I39" s="21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21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>
        <v>0</v>
      </c>
      <c r="F41" s="21">
        <v>0</v>
      </c>
      <c r="G41" s="21">
        <v>0</v>
      </c>
      <c r="H41" s="21"/>
      <c r="I41" s="21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>
        <v>328512.47</v>
      </c>
      <c r="F42" s="21">
        <v>330960.84</v>
      </c>
      <c r="G42" s="21">
        <v>157566.75</v>
      </c>
      <c r="H42" s="21"/>
      <c r="I42" s="21"/>
      <c r="J42" s="21"/>
      <c r="K42" s="46"/>
      <c r="L42" s="21"/>
      <c r="M42" s="21"/>
      <c r="N42" s="21"/>
      <c r="O42" s="21"/>
      <c r="P42" s="47">
        <f t="shared" si="0"/>
        <v>817040.06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>
        <v>0</v>
      </c>
      <c r="F43" s="21">
        <v>0</v>
      </c>
      <c r="G43" s="21">
        <v>0</v>
      </c>
      <c r="H43" s="21"/>
      <c r="I43" s="21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>
        <v>0</v>
      </c>
      <c r="F44" s="21">
        <v>0</v>
      </c>
      <c r="G44" s="21">
        <v>0</v>
      </c>
      <c r="H44" s="21"/>
      <c r="I44" s="21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>
        <v>0</v>
      </c>
      <c r="F45" s="21">
        <v>0</v>
      </c>
      <c r="G45" s="21">
        <v>0</v>
      </c>
      <c r="H45" s="21"/>
      <c r="I45" s="21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228.8</v>
      </c>
      <c r="E46" s="21">
        <v>228.81</v>
      </c>
      <c r="F46" s="21">
        <v>228.78</v>
      </c>
      <c r="G46" s="21">
        <v>228.81</v>
      </c>
      <c r="H46" s="21"/>
      <c r="I46" s="21"/>
      <c r="J46" s="21"/>
      <c r="K46" s="46"/>
      <c r="L46" s="21"/>
      <c r="M46" s="21"/>
      <c r="N46" s="21"/>
      <c r="O46" s="21"/>
      <c r="P46" s="47">
        <f t="shared" si="0"/>
        <v>915.2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>
        <v>0</v>
      </c>
      <c r="F47" s="21">
        <v>0</v>
      </c>
      <c r="G47" s="21">
        <v>0</v>
      </c>
      <c r="H47" s="21"/>
      <c r="I47" s="21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>
        <v>0</v>
      </c>
      <c r="F48" s="21">
        <v>0</v>
      </c>
      <c r="G48" s="21">
        <v>0</v>
      </c>
      <c r="H48" s="21"/>
      <c r="I48" s="21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>
        <v>47145.1</v>
      </c>
      <c r="H49" s="21"/>
      <c r="I49" s="21"/>
      <c r="J49" s="21"/>
      <c r="K49" s="46"/>
      <c r="L49" s="21"/>
      <c r="M49" s="21"/>
      <c r="N49" s="21"/>
      <c r="O49" s="21"/>
      <c r="P49" s="47">
        <f t="shared" si="0"/>
        <v>47145.1</v>
      </c>
    </row>
    <row r="50" s="5" customFormat="1" ht="17.25" customHeight="1" spans="1:16">
      <c r="A50" s="211"/>
      <c r="B50" s="38"/>
      <c r="C50" s="207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>
        <v>0</v>
      </c>
      <c r="H51" s="21"/>
      <c r="I51" s="21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>
        <v>3489.38</v>
      </c>
      <c r="E52" s="21">
        <v>362.35</v>
      </c>
      <c r="F52" s="21">
        <v>833.11</v>
      </c>
      <c r="G52" s="21">
        <v>0</v>
      </c>
      <c r="H52" s="21"/>
      <c r="I52" s="21"/>
      <c r="J52" s="21"/>
      <c r="K52" s="46"/>
      <c r="L52" s="21"/>
      <c r="M52" s="21"/>
      <c r="N52" s="21"/>
      <c r="O52" s="21"/>
      <c r="P52" s="47">
        <f t="shared" si="0"/>
        <v>4684.84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>
        <v>600</v>
      </c>
      <c r="H53" s="21"/>
      <c r="I53" s="21"/>
      <c r="J53" s="21"/>
      <c r="K53" s="46"/>
      <c r="L53" s="21"/>
      <c r="M53" s="21"/>
      <c r="N53" s="21"/>
      <c r="O53" s="21"/>
      <c r="P53" s="47">
        <f t="shared" si="0"/>
        <v>600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>
        <v>0</v>
      </c>
      <c r="H54" s="21"/>
      <c r="I54" s="21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>
        <v>0</v>
      </c>
      <c r="F55" s="21">
        <v>0</v>
      </c>
      <c r="G55" s="21">
        <v>0</v>
      </c>
      <c r="H55" s="21"/>
      <c r="I55" s="21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>
        <v>0</v>
      </c>
      <c r="F56" s="21">
        <v>0</v>
      </c>
      <c r="G56" s="21">
        <v>0</v>
      </c>
      <c r="H56" s="21"/>
      <c r="I56" s="21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>
        <v>0</v>
      </c>
      <c r="F57" s="21">
        <v>0</v>
      </c>
      <c r="G57" s="21">
        <v>0</v>
      </c>
      <c r="H57" s="21"/>
      <c r="I57" s="21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>
        <v>0</v>
      </c>
      <c r="F58" s="21">
        <v>0</v>
      </c>
      <c r="G58" s="21">
        <v>0</v>
      </c>
      <c r="H58" s="21"/>
      <c r="I58" s="21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>
        <v>0</v>
      </c>
      <c r="H59" s="21"/>
      <c r="I59" s="21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>
        <v>0</v>
      </c>
      <c r="H60" s="21"/>
      <c r="I60" s="21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>
        <v>0</v>
      </c>
      <c r="F61" s="21">
        <v>97.53</v>
      </c>
      <c r="G61" s="21">
        <v>0</v>
      </c>
      <c r="H61" s="21"/>
      <c r="I61" s="21"/>
      <c r="J61" s="21"/>
      <c r="K61" s="46"/>
      <c r="L61" s="21"/>
      <c r="M61" s="21"/>
      <c r="N61" s="21"/>
      <c r="O61" s="21"/>
      <c r="P61" s="47">
        <f t="shared" si="0"/>
        <v>97.53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>
        <v>0</v>
      </c>
      <c r="F62" s="21">
        <v>0</v>
      </c>
      <c r="G62" s="21">
        <v>0</v>
      </c>
      <c r="H62" s="21"/>
      <c r="I62" s="21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>
        <v>0</v>
      </c>
      <c r="F63" s="21">
        <v>0</v>
      </c>
      <c r="G63" s="21">
        <v>0</v>
      </c>
      <c r="H63" s="21"/>
      <c r="I63" s="21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>
        <v>0</v>
      </c>
      <c r="F64" s="21">
        <v>0</v>
      </c>
      <c r="G64" s="21">
        <v>0</v>
      </c>
      <c r="H64" s="21"/>
      <c r="I64" s="21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>
        <v>0</v>
      </c>
      <c r="F65" s="21">
        <v>0</v>
      </c>
      <c r="G65" s="21">
        <v>0</v>
      </c>
      <c r="H65" s="21"/>
      <c r="I65" s="21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>
        <v>0</v>
      </c>
      <c r="F66" s="21">
        <v>0</v>
      </c>
      <c r="G66" s="21">
        <v>0</v>
      </c>
      <c r="H66" s="21"/>
      <c r="I66" s="21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>
        <v>0</v>
      </c>
      <c r="F67" s="21">
        <v>0</v>
      </c>
      <c r="G67" s="21">
        <v>0</v>
      </c>
      <c r="H67" s="21"/>
      <c r="I67" s="21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>
        <v>0</v>
      </c>
      <c r="F68" s="21">
        <v>0</v>
      </c>
      <c r="G68" s="21">
        <v>0</v>
      </c>
      <c r="H68" s="21"/>
      <c r="I68" s="21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660570.52</v>
      </c>
      <c r="E69" s="21">
        <v>848298.92</v>
      </c>
      <c r="F69" s="21">
        <v>1970310.97</v>
      </c>
      <c r="G69" s="21">
        <v>1565648.84</v>
      </c>
      <c r="H69" s="21"/>
      <c r="I69" s="21"/>
      <c r="J69" s="21"/>
      <c r="K69" s="46"/>
      <c r="L69" s="21"/>
      <c r="M69" s="21"/>
      <c r="N69" s="21"/>
      <c r="O69" s="21"/>
      <c r="P69" s="47">
        <f t="shared" si="0"/>
        <v>5044829.25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>
        <v>0</v>
      </c>
      <c r="F70" s="21">
        <v>878.29</v>
      </c>
      <c r="G70" s="21">
        <v>4428.87</v>
      </c>
      <c r="H70" s="21"/>
      <c r="I70" s="21"/>
      <c r="J70" s="21"/>
      <c r="K70" s="46"/>
      <c r="L70" s="21"/>
      <c r="M70" s="21"/>
      <c r="N70" s="21"/>
      <c r="O70" s="21"/>
      <c r="P70" s="47">
        <f t="shared" si="0"/>
        <v>5307.16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>
        <v>0</v>
      </c>
      <c r="H71" s="21"/>
      <c r="I71" s="21"/>
      <c r="J71" s="21"/>
      <c r="K71" s="46"/>
      <c r="L71" s="21"/>
      <c r="M71" s="21"/>
      <c r="N71" s="21"/>
      <c r="O71" s="21"/>
      <c r="P71" s="47">
        <f t="shared" ref="P71:P103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>
        <v>0</v>
      </c>
      <c r="H72" s="21"/>
      <c r="I72" s="21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>
        <v>0</v>
      </c>
      <c r="H73" s="21"/>
      <c r="I73" s="21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>
        <v>0</v>
      </c>
      <c r="F74" s="21">
        <v>0</v>
      </c>
      <c r="G74" s="21">
        <v>100</v>
      </c>
      <c r="H74" s="21"/>
      <c r="I74" s="21"/>
      <c r="J74" s="21"/>
      <c r="K74" s="46"/>
      <c r="L74" s="21"/>
      <c r="M74" s="21"/>
      <c r="N74" s="21"/>
      <c r="O74" s="21"/>
      <c r="P74" s="47">
        <f t="shared" si="1"/>
        <v>100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>
        <v>0</v>
      </c>
      <c r="F75" s="21">
        <v>0</v>
      </c>
      <c r="G75" s="21">
        <v>0</v>
      </c>
      <c r="H75" s="21"/>
      <c r="I75" s="21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>
        <v>0</v>
      </c>
      <c r="H77" s="21"/>
      <c r="I77" s="21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>
        <v>0</v>
      </c>
      <c r="H78" s="21"/>
      <c r="I78" s="21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>
        <v>0</v>
      </c>
      <c r="F79" s="21">
        <v>0</v>
      </c>
      <c r="G79" s="21">
        <v>0</v>
      </c>
      <c r="H79" s="21"/>
      <c r="I79" s="21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>
        <v>39.29</v>
      </c>
      <c r="F80" s="21">
        <v>0</v>
      </c>
      <c r="G80" s="21">
        <v>0</v>
      </c>
      <c r="H80" s="21"/>
      <c r="I80" s="21"/>
      <c r="J80" s="21"/>
      <c r="K80" s="46"/>
      <c r="L80" s="21"/>
      <c r="M80" s="21"/>
      <c r="N80" s="21"/>
      <c r="O80" s="21"/>
      <c r="P80" s="47">
        <f t="shared" si="1"/>
        <v>39.29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21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21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21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>
        <v>0</v>
      </c>
      <c r="H86" s="21"/>
      <c r="I86" s="21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>
        <v>0</v>
      </c>
      <c r="H90" s="21"/>
      <c r="I90" s="21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>
        <v>0</v>
      </c>
      <c r="H92" s="21"/>
      <c r="I92" s="21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877171.87</v>
      </c>
      <c r="E93" s="58">
        <f t="shared" ref="E93:P93" si="2">SUM(E6:E92)</f>
        <v>1171670.01</v>
      </c>
      <c r="F93" s="58">
        <f t="shared" si="2"/>
        <v>2379457.19</v>
      </c>
      <c r="G93" s="58">
        <f>SUM(G6:G92)</f>
        <v>1811837.44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6240136.51</v>
      </c>
    </row>
    <row r="94" s="7" customFormat="1" ht="15" customHeight="1" spans="1:16">
      <c r="A94" s="252" t="s">
        <v>176</v>
      </c>
      <c r="B94" s="253"/>
      <c r="C94" s="254"/>
      <c r="D94" s="235">
        <v>278050.2</v>
      </c>
      <c r="E94" s="47">
        <v>711628.22</v>
      </c>
      <c r="F94" s="47">
        <v>837493.86</v>
      </c>
      <c r="G94" s="236">
        <v>457379.83</v>
      </c>
      <c r="H94" s="236"/>
      <c r="I94" s="236"/>
      <c r="J94" s="236"/>
      <c r="K94" s="74"/>
      <c r="L94" s="236"/>
      <c r="M94" s="236"/>
      <c r="N94" s="236"/>
      <c r="O94" s="236"/>
      <c r="P94" s="47">
        <f>SUM(D94:O94)</f>
        <v>2284552.11</v>
      </c>
    </row>
    <row r="95" s="7" customFormat="1" ht="15" customHeight="1" spans="1:16">
      <c r="A95" s="261" t="s">
        <v>308</v>
      </c>
      <c r="B95" s="262"/>
      <c r="C95" s="263"/>
      <c r="D95" s="257">
        <v>98874.94</v>
      </c>
      <c r="E95" s="235">
        <v>547728.6</v>
      </c>
      <c r="F95" s="235">
        <v>646874.57</v>
      </c>
      <c r="G95" s="235">
        <v>377205.61</v>
      </c>
      <c r="H95" s="236"/>
      <c r="I95" s="236"/>
      <c r="J95" s="236"/>
      <c r="K95" s="74"/>
      <c r="L95" s="236"/>
      <c r="M95" s="236"/>
      <c r="N95" s="236"/>
      <c r="O95" s="236"/>
      <c r="P95" s="47">
        <f t="shared" si="1"/>
        <v>1670683.72</v>
      </c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236"/>
      <c r="J96" s="236"/>
      <c r="K96" s="74"/>
      <c r="L96" s="236"/>
      <c r="M96" s="236"/>
      <c r="N96" s="236"/>
      <c r="O96" s="236"/>
      <c r="P96" s="47">
        <f t="shared" si="1"/>
        <v>0</v>
      </c>
    </row>
    <row r="97" s="7" customFormat="1" ht="15" customHeight="1" spans="1:16">
      <c r="A97" s="261" t="s">
        <v>308</v>
      </c>
      <c r="B97" s="262"/>
      <c r="C97" s="263"/>
      <c r="D97" s="235"/>
      <c r="E97" s="235"/>
      <c r="F97" s="235"/>
      <c r="G97" s="235"/>
      <c r="H97" s="236"/>
      <c r="I97" s="236"/>
      <c r="J97" s="236"/>
      <c r="K97" s="74"/>
      <c r="L97" s="236"/>
      <c r="M97" s="236"/>
      <c r="N97" s="236"/>
      <c r="O97" s="236"/>
      <c r="P97" s="47">
        <f t="shared" si="1"/>
        <v>0</v>
      </c>
    </row>
    <row r="98" s="7" customFormat="1" ht="15" customHeight="1" spans="1:16">
      <c r="A98" s="252" t="s">
        <v>178</v>
      </c>
      <c r="B98" s="253"/>
      <c r="C98" s="254"/>
      <c r="D98" s="47">
        <v>543478.27</v>
      </c>
      <c r="E98" s="47">
        <v>460041.79</v>
      </c>
      <c r="F98" s="47">
        <v>1541963.33</v>
      </c>
      <c r="G98" s="236">
        <v>1277972.98</v>
      </c>
      <c r="H98" s="236"/>
      <c r="I98" s="236"/>
      <c r="J98" s="236"/>
      <c r="K98" s="74"/>
      <c r="L98" s="236"/>
      <c r="M98" s="236"/>
      <c r="N98" s="236"/>
      <c r="O98" s="236"/>
      <c r="P98" s="47">
        <f t="shared" si="1"/>
        <v>3823456.37</v>
      </c>
    </row>
    <row r="99" s="7" customFormat="1" ht="15" customHeight="1" spans="1:16">
      <c r="A99" s="261" t="s">
        <v>308</v>
      </c>
      <c r="B99" s="262"/>
      <c r="C99" s="263"/>
      <c r="D99" s="260">
        <v>514146.59</v>
      </c>
      <c r="E99" s="47">
        <v>300570.32</v>
      </c>
      <c r="F99" s="47">
        <v>1323436.4</v>
      </c>
      <c r="G99" s="47">
        <v>1188443.23</v>
      </c>
      <c r="H99" s="236"/>
      <c r="I99" s="236"/>
      <c r="J99" s="236"/>
      <c r="K99" s="74"/>
      <c r="L99" s="236"/>
      <c r="M99" s="236"/>
      <c r="N99" s="236"/>
      <c r="O99" s="236"/>
      <c r="P99" s="47">
        <f t="shared" si="1"/>
        <v>3326596.54</v>
      </c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236"/>
      <c r="H100" s="236"/>
      <c r="I100" s="236"/>
      <c r="J100" s="236"/>
      <c r="K100" s="74"/>
      <c r="L100" s="236"/>
      <c r="M100" s="236"/>
      <c r="N100" s="236"/>
      <c r="O100" s="236"/>
      <c r="P100" s="47">
        <f t="shared" si="1"/>
        <v>0</v>
      </c>
    </row>
    <row r="101" s="7" customFormat="1" ht="15" customHeight="1" spans="1:16">
      <c r="A101" s="261" t="s">
        <v>308</v>
      </c>
      <c r="B101" s="262"/>
      <c r="C101" s="263"/>
      <c r="D101" s="47"/>
      <c r="E101" s="47"/>
      <c r="F101" s="47"/>
      <c r="G101" s="236"/>
      <c r="H101" s="236"/>
      <c r="I101" s="236"/>
      <c r="J101" s="236"/>
      <c r="K101" s="264"/>
      <c r="L101" s="236"/>
      <c r="M101" s="236"/>
      <c r="N101" s="236"/>
      <c r="O101" s="236"/>
      <c r="P101" s="47">
        <f t="shared" si="1"/>
        <v>0</v>
      </c>
    </row>
    <row r="102" s="7" customFormat="1" ht="15" customHeight="1" spans="1:16">
      <c r="A102" s="252" t="s">
        <v>180</v>
      </c>
      <c r="B102" s="253"/>
      <c r="C102" s="254"/>
      <c r="D102" s="47">
        <v>55643.4</v>
      </c>
      <c r="E102" s="47"/>
      <c r="F102" s="47"/>
      <c r="G102" s="236">
        <v>76484.63</v>
      </c>
      <c r="H102" s="236"/>
      <c r="I102" s="236"/>
      <c r="J102" s="236"/>
      <c r="K102" s="74"/>
      <c r="L102" s="236"/>
      <c r="M102" s="236"/>
      <c r="N102" s="236"/>
      <c r="O102" s="236"/>
      <c r="P102" s="47">
        <f t="shared" si="1"/>
        <v>132128.03</v>
      </c>
    </row>
    <row r="103" s="7" customFormat="1" ht="15" customHeight="1" spans="1:16">
      <c r="A103" s="261" t="s">
        <v>308</v>
      </c>
      <c r="B103" s="262"/>
      <c r="C103" s="263"/>
      <c r="D103" s="267">
        <v>47548.99</v>
      </c>
      <c r="E103" s="236"/>
      <c r="F103" s="236"/>
      <c r="G103" s="236"/>
      <c r="H103" s="236"/>
      <c r="I103" s="236"/>
      <c r="J103" s="236"/>
      <c r="K103" s="236"/>
      <c r="L103" s="236"/>
      <c r="M103" s="236"/>
      <c r="N103" s="236"/>
      <c r="O103" s="236"/>
      <c r="P103" s="47">
        <f t="shared" si="1"/>
        <v>47548.99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4">SUM(E94,E96,E98,E100,E102)=E93</f>
        <v>1</v>
      </c>
      <c r="F105" s="239" t="b">
        <f t="shared" si="4"/>
        <v>1</v>
      </c>
      <c r="G105" s="239" t="b">
        <f t="shared" si="4"/>
        <v>1</v>
      </c>
      <c r="H105" s="239" t="b">
        <f t="shared" si="4"/>
        <v>1</v>
      </c>
      <c r="I105" s="239" t="b">
        <f t="shared" si="4"/>
        <v>1</v>
      </c>
      <c r="J105" s="239" t="b">
        <f t="shared" si="4"/>
        <v>1</v>
      </c>
      <c r="K105" s="239" t="b">
        <f t="shared" si="4"/>
        <v>1</v>
      </c>
      <c r="L105" s="239" t="b">
        <f t="shared" si="4"/>
        <v>1</v>
      </c>
      <c r="M105" s="239" t="b">
        <f t="shared" si="4"/>
        <v>1</v>
      </c>
      <c r="N105" s="239" t="b">
        <f t="shared" si="4"/>
        <v>1</v>
      </c>
      <c r="O105" s="239" t="b">
        <f t="shared" si="4"/>
        <v>1</v>
      </c>
      <c r="P105" s="239" t="b">
        <f t="shared" si="4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5">(E95+E97+E99+E101+E103)=(E68+E69)</f>
        <v>1</v>
      </c>
      <c r="F106" s="240" t="b">
        <f t="shared" si="5"/>
        <v>1</v>
      </c>
      <c r="G106" s="240" t="b">
        <f t="shared" si="5"/>
        <v>1</v>
      </c>
      <c r="H106" s="240" t="b">
        <f t="shared" si="5"/>
        <v>1</v>
      </c>
      <c r="I106" s="240" t="b">
        <f t="shared" si="5"/>
        <v>1</v>
      </c>
      <c r="J106" s="240" t="b">
        <f t="shared" si="5"/>
        <v>1</v>
      </c>
      <c r="K106" s="240" t="b">
        <f t="shared" si="5"/>
        <v>1</v>
      </c>
      <c r="L106" s="240" t="b">
        <f t="shared" si="5"/>
        <v>1</v>
      </c>
      <c r="M106" s="240" t="b">
        <f t="shared" si="5"/>
        <v>1</v>
      </c>
      <c r="N106" s="240" t="b">
        <f t="shared" si="5"/>
        <v>1</v>
      </c>
      <c r="O106" s="240" t="b">
        <f t="shared" si="5"/>
        <v>1</v>
      </c>
      <c r="P106" s="240" t="b">
        <f t="shared" si="5"/>
        <v>1</v>
      </c>
    </row>
    <row r="107" spans="4:15">
      <c r="D107" s="96"/>
      <c r="F107" s="266">
        <v>2379457.19</v>
      </c>
      <c r="I107" s="68"/>
      <c r="L107" s="265">
        <f>L93+'X-池州天赐'!L93+'X-安徽天孚'!L93+'X-中硝'!L93+'X-天祺'!L93</f>
        <v>0</v>
      </c>
      <c r="M107" s="265">
        <f>M93+'X-池州天赐'!M93+'X-安徽天孚'!M93+'X-中硝'!M93+'X-天祺'!M93</f>
        <v>0</v>
      </c>
      <c r="N107" s="265">
        <f>N93+'X-池州天赐'!N93+'X-安徽天孚'!N93+'X-中硝'!N93+'X-天祺'!N93</f>
        <v>0</v>
      </c>
      <c r="O107" s="265">
        <f>O93+'X-池州天赐'!O93+'X-安徽天孚'!O93+'X-中硝'!O93+'X-天祺'!O93</f>
        <v>0</v>
      </c>
    </row>
    <row r="108" spans="4:7">
      <c r="D108" s="68"/>
      <c r="E108" s="265"/>
      <c r="F108" s="157">
        <f>F107-F93</f>
        <v>0</v>
      </c>
      <c r="G108" s="68"/>
    </row>
    <row r="109" spans="4:16">
      <c r="D109" s="96"/>
      <c r="F109" s="101"/>
      <c r="P109" s="68"/>
    </row>
    <row r="110" s="6" customFormat="1" ht="12" spans="4:4">
      <c r="D110" s="241"/>
    </row>
    <row r="111" spans="4:4">
      <c r="D111" s="68"/>
    </row>
  </sheetData>
  <autoFilter ref="A5:Q108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K41">
    <cfRule type="cellIs" dxfId="0" priority="4" stopIfTrue="1" operator="equal">
      <formula>"no"</formula>
    </cfRule>
    <cfRule type="cellIs" dxfId="0" priority="10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A41:C41 A34:C34 O41:IV41">
    <cfRule type="cellIs" dxfId="0" priority="11" stopIfTrue="1" operator="equal">
      <formula>"no"</formula>
    </cfRule>
  </conditionalFormatting>
  <conditionalFormatting sqref="G41:J41 L41:N41 P41:XFD41 A41:D41">
    <cfRule type="cellIs" dxfId="0" priority="12" stopIfTrue="1" operator="equal">
      <formula>"no"</formula>
    </cfRule>
  </conditionalFormatting>
  <conditionalFormatting sqref="A41:D41 O41:XFD41 G41:L41">
    <cfRule type="cellIs" dxfId="0" priority="8" stopIfTrue="1" operator="equal">
      <formula>"no"</formula>
    </cfRule>
    <cfRule type="cellIs" dxfId="0" priority="9" stopIfTrue="1" operator="equal">
      <formula>"no"</formula>
    </cfRule>
  </conditionalFormatting>
  <conditionalFormatting sqref="O41:XFD41 A41:D41 H41:L41">
    <cfRule type="cellIs" dxfId="0" priority="7" stopIfTrue="1" operator="equal">
      <formula>"no"</formula>
    </cfRule>
  </conditionalFormatting>
  <conditionalFormatting sqref="A41:C41 G41:IF41">
    <cfRule type="cellIs" dxfId="0" priority="6" stopIfTrue="1" operator="equal">
      <formula>"no"</formula>
    </cfRule>
  </conditionalFormatting>
  <conditionalFormatting sqref="A106:C106 Q106:IK106">
    <cfRule type="cellIs" dxfId="0" priority="5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1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313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62317.23</v>
      </c>
      <c r="E6" s="21">
        <v>-70552.75</v>
      </c>
      <c r="F6" s="21">
        <v>4694.83</v>
      </c>
      <c r="G6" s="21">
        <v>4770</v>
      </c>
      <c r="H6" s="21"/>
      <c r="I6" s="21"/>
      <c r="J6" s="21"/>
      <c r="K6" s="21"/>
      <c r="L6" s="21"/>
      <c r="M6" s="21"/>
      <c r="N6" s="21"/>
      <c r="O6" s="21"/>
      <c r="P6" s="47">
        <f>SUM(D6:O6)</f>
        <v>1229.31</v>
      </c>
      <c r="Q6" s="48">
        <f>P6+P7+P8+P19+P22+P23+P24+P25+P26</f>
        <v>18064.8</v>
      </c>
    </row>
    <row r="7" s="5" customFormat="1" ht="17.25" customHeight="1" spans="1:16">
      <c r="A7" s="199"/>
      <c r="B7" s="23"/>
      <c r="C7" s="20" t="s">
        <v>71</v>
      </c>
      <c r="D7" s="21">
        <v>-1423.06</v>
      </c>
      <c r="E7" s="21">
        <v>365</v>
      </c>
      <c r="F7" s="21">
        <v>370</v>
      </c>
      <c r="G7" s="21">
        <v>370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-318.06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>
        <v>100</v>
      </c>
      <c r="E14" s="21">
        <v>100</v>
      </c>
      <c r="F14" s="21"/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200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3233</v>
      </c>
      <c r="E19" s="21">
        <v>270</v>
      </c>
      <c r="F19" s="21">
        <v>270</v>
      </c>
      <c r="G19" s="21">
        <v>270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4043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 t="s">
        <v>214</v>
      </c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 t="s">
        <v>214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7730.24</v>
      </c>
      <c r="E22" s="21">
        <v>454.72</v>
      </c>
      <c r="F22" s="21">
        <v>-454.72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7730.24</v>
      </c>
    </row>
    <row r="23" s="5" customFormat="1" ht="17.25" customHeight="1" spans="1:16">
      <c r="A23" s="199"/>
      <c r="B23" s="24"/>
      <c r="C23" s="25" t="s">
        <v>89</v>
      </c>
      <c r="D23" s="21">
        <v>241.57</v>
      </c>
      <c r="E23" s="21">
        <v>14.21</v>
      </c>
      <c r="F23" s="21" t="s">
        <v>214</v>
      </c>
      <c r="G23" s="21">
        <v>-14.21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241.57</v>
      </c>
    </row>
    <row r="24" s="5" customFormat="1" ht="17.25" customHeight="1" spans="1:16">
      <c r="A24" s="199"/>
      <c r="B24" s="24"/>
      <c r="C24" s="25" t="s">
        <v>90</v>
      </c>
      <c r="D24" s="21">
        <v>237.15</v>
      </c>
      <c r="E24" s="21">
        <v>13.95</v>
      </c>
      <c r="F24" s="21">
        <v>-9.95</v>
      </c>
      <c r="G24" s="21">
        <v>4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245.15</v>
      </c>
    </row>
    <row r="25" s="5" customFormat="1" ht="17.25" customHeight="1" spans="1:16">
      <c r="A25" s="199"/>
      <c r="B25" s="24"/>
      <c r="C25" s="25" t="s">
        <v>91</v>
      </c>
      <c r="D25" s="21">
        <v>3846.25</v>
      </c>
      <c r="E25" s="21">
        <v>240.09</v>
      </c>
      <c r="F25" s="21">
        <v>240.09</v>
      </c>
      <c r="G25" s="21">
        <v>7.19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4333.62</v>
      </c>
    </row>
    <row r="26" s="5" customFormat="1" ht="17.25" customHeight="1" spans="1:16">
      <c r="A26" s="199"/>
      <c r="B26" s="23"/>
      <c r="C26" s="25" t="s">
        <v>92</v>
      </c>
      <c r="D26" s="21">
        <v>497.76</v>
      </c>
      <c r="E26" s="21">
        <v>31.11</v>
      </c>
      <c r="F26" s="21">
        <v>31.11</v>
      </c>
      <c r="G26" s="21">
        <v>-0.01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559.97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>
        <v>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/>
      <c r="G37" s="21">
        <v>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1.03</v>
      </c>
      <c r="E41" s="21"/>
      <c r="F41" s="21"/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1.03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>
        <v>0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130.52</v>
      </c>
      <c r="E46" s="21">
        <v>130.53</v>
      </c>
      <c r="F46" s="21">
        <v>130.52</v>
      </c>
      <c r="G46" s="21">
        <v>130.51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522.08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>
        <v>0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1"/>
      <c r="F69" s="21"/>
      <c r="G69" s="21">
        <v>0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103.77</v>
      </c>
      <c r="E70" s="21"/>
      <c r="F70" s="21">
        <v>300.94</v>
      </c>
      <c r="G70" s="21">
        <v>402.83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807.54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>
        <v>83.54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83.54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77015.46</v>
      </c>
      <c r="E93" s="58">
        <f t="shared" ref="E93:P93" si="2">SUM(E6:E92)</f>
        <v>-68933.14</v>
      </c>
      <c r="F93" s="58">
        <f t="shared" si="2"/>
        <v>5572.82</v>
      </c>
      <c r="G93" s="58">
        <f>SUM(G6:G92)</f>
        <v>6023.85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19678.99</v>
      </c>
    </row>
    <row r="94" s="7" customFormat="1" ht="15" customHeight="1" spans="1:16">
      <c r="A94" s="61" t="s">
        <v>176</v>
      </c>
      <c r="B94" s="62"/>
      <c r="C94" s="63"/>
      <c r="D94" s="235"/>
      <c r="E94" s="47"/>
      <c r="F94" s="47"/>
      <c r="G94" s="236">
        <v>0</v>
      </c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61"/>
      <c r="B95" s="237" t="s">
        <v>308</v>
      </c>
      <c r="C95" s="63"/>
      <c r="D95" s="235"/>
      <c r="E95" s="47"/>
      <c r="F95" s="47"/>
      <c r="G95" s="236">
        <v>0</v>
      </c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3">SUM(D95:O95)</f>
        <v>0</v>
      </c>
    </row>
    <row r="96" s="7" customFormat="1" ht="15" customHeight="1" spans="1:16">
      <c r="A96" s="61" t="s">
        <v>177</v>
      </c>
      <c r="B96" s="62"/>
      <c r="C96" s="63"/>
      <c r="D96" s="235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3"/>
        <v>0</v>
      </c>
    </row>
    <row r="97" s="7" customFormat="1" ht="15" customHeight="1" spans="1:16">
      <c r="A97" s="61"/>
      <c r="B97" s="237" t="s">
        <v>308</v>
      </c>
      <c r="C97" s="63"/>
      <c r="D97" s="235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3"/>
        <v>0</v>
      </c>
    </row>
    <row r="98" s="7" customFormat="1" ht="15" customHeight="1" spans="1:16">
      <c r="A98" s="61" t="s">
        <v>178</v>
      </c>
      <c r="B98" s="62"/>
      <c r="C98" s="63"/>
      <c r="D98" s="47">
        <f>D93</f>
        <v>77015.46</v>
      </c>
      <c r="E98" s="47">
        <f t="shared" ref="E98:O98" si="4">E93</f>
        <v>-68933.14</v>
      </c>
      <c r="F98" s="47">
        <f t="shared" si="4"/>
        <v>5572.82</v>
      </c>
      <c r="G98" s="47">
        <f t="shared" si="4"/>
        <v>6023.85</v>
      </c>
      <c r="H98" s="47">
        <f t="shared" si="4"/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47">
        <f t="shared" si="3"/>
        <v>19678.99</v>
      </c>
    </row>
    <row r="99" s="7" customFormat="1" ht="15" customHeight="1" spans="1:16">
      <c r="A99" s="61"/>
      <c r="B99" s="237" t="s">
        <v>308</v>
      </c>
      <c r="C99" s="63"/>
      <c r="D99" s="47">
        <f>D68+D69</f>
        <v>0</v>
      </c>
      <c r="E99" s="47">
        <f t="shared" ref="E99:O99" si="5">E68+E69</f>
        <v>0</v>
      </c>
      <c r="F99" s="47">
        <f t="shared" si="5"/>
        <v>0</v>
      </c>
      <c r="G99" s="47">
        <f t="shared" si="5"/>
        <v>0</v>
      </c>
      <c r="H99" s="47">
        <f t="shared" si="5"/>
        <v>0</v>
      </c>
      <c r="I99" s="47">
        <f t="shared" si="5"/>
        <v>0</v>
      </c>
      <c r="J99" s="47">
        <f t="shared" si="5"/>
        <v>0</v>
      </c>
      <c r="K99" s="47">
        <f t="shared" si="5"/>
        <v>0</v>
      </c>
      <c r="L99" s="47">
        <f t="shared" si="5"/>
        <v>0</v>
      </c>
      <c r="M99" s="47">
        <f t="shared" si="5"/>
        <v>0</v>
      </c>
      <c r="N99" s="47">
        <f t="shared" si="5"/>
        <v>0</v>
      </c>
      <c r="O99" s="47">
        <f t="shared" si="5"/>
        <v>0</v>
      </c>
      <c r="P99" s="47">
        <f t="shared" si="3"/>
        <v>0</v>
      </c>
    </row>
    <row r="100" s="7" customFormat="1" ht="15" customHeight="1" spans="1:16">
      <c r="A100" s="61" t="s">
        <v>179</v>
      </c>
      <c r="B100" s="62"/>
      <c r="C100" s="63"/>
      <c r="D100" s="47"/>
      <c r="E100" s="47"/>
      <c r="F100" s="47"/>
      <c r="G100" s="236"/>
      <c r="H100" s="236"/>
      <c r="I100" s="236"/>
      <c r="J100" s="236"/>
      <c r="K100" s="236"/>
      <c r="L100" s="236"/>
      <c r="M100" s="236"/>
      <c r="N100" s="236"/>
      <c r="O100" s="236"/>
      <c r="P100" s="47">
        <f t="shared" si="3"/>
        <v>0</v>
      </c>
    </row>
    <row r="101" s="7" customFormat="1" ht="15" customHeight="1" spans="1:16">
      <c r="A101" s="61"/>
      <c r="B101" s="237" t="s">
        <v>308</v>
      </c>
      <c r="C101" s="63"/>
      <c r="D101" s="47"/>
      <c r="E101" s="47"/>
      <c r="F101" s="47"/>
      <c r="G101" s="236"/>
      <c r="H101" s="236"/>
      <c r="I101" s="236"/>
      <c r="J101" s="236"/>
      <c r="K101" s="236"/>
      <c r="L101" s="236"/>
      <c r="M101" s="236"/>
      <c r="N101" s="236"/>
      <c r="O101" s="236"/>
      <c r="P101" s="47">
        <f t="shared" si="3"/>
        <v>0</v>
      </c>
    </row>
    <row r="102" s="7" customFormat="1" ht="15" customHeight="1" spans="1:16">
      <c r="A102" s="61" t="s">
        <v>180</v>
      </c>
      <c r="B102" s="62"/>
      <c r="C102" s="63"/>
      <c r="D102" s="47"/>
      <c r="E102" s="47"/>
      <c r="F102" s="47"/>
      <c r="G102" s="74"/>
      <c r="H102" s="236"/>
      <c r="I102" s="236"/>
      <c r="J102" s="236"/>
      <c r="K102" s="236"/>
      <c r="L102" s="236"/>
      <c r="M102" s="236"/>
      <c r="N102" s="236"/>
      <c r="O102" s="236"/>
      <c r="P102" s="47">
        <f t="shared" si="3"/>
        <v>0</v>
      </c>
    </row>
    <row r="103" s="7" customFormat="1" ht="15" customHeight="1" spans="1:16">
      <c r="A103" s="61"/>
      <c r="B103" s="237" t="s">
        <v>308</v>
      </c>
      <c r="C103" s="63"/>
      <c r="D103" s="47"/>
      <c r="E103" s="47"/>
      <c r="F103" s="47"/>
      <c r="G103" s="47"/>
      <c r="H103" s="47"/>
      <c r="I103" s="47"/>
      <c r="J103" s="47"/>
      <c r="K103" s="47"/>
      <c r="L103" s="236"/>
      <c r="M103" s="236"/>
      <c r="N103" s="236"/>
      <c r="O103" s="236"/>
      <c r="P103" s="47">
        <f t="shared" si="3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1:16">
      <c r="A105" s="190"/>
      <c r="D105" s="239" t="b">
        <f>SUM(D94,D96,D98,D100,D102)=D93</f>
        <v>1</v>
      </c>
      <c r="E105" s="239" t="b">
        <f t="shared" ref="E105:P105" si="6">SUM(E94,E96,E98,E100,E102)=E93</f>
        <v>1</v>
      </c>
      <c r="F105" s="239" t="b">
        <f t="shared" si="6"/>
        <v>1</v>
      </c>
      <c r="G105" s="239" t="b">
        <f t="shared" si="6"/>
        <v>1</v>
      </c>
      <c r="H105" s="239" t="b">
        <f t="shared" si="6"/>
        <v>1</v>
      </c>
      <c r="I105" s="239" t="b">
        <f t="shared" si="6"/>
        <v>1</v>
      </c>
      <c r="J105" s="239" t="b">
        <f t="shared" si="6"/>
        <v>1</v>
      </c>
      <c r="K105" s="239" t="b">
        <f t="shared" si="6"/>
        <v>1</v>
      </c>
      <c r="L105" s="239" t="b">
        <f t="shared" si="6"/>
        <v>1</v>
      </c>
      <c r="M105" s="239" t="b">
        <f t="shared" si="6"/>
        <v>1</v>
      </c>
      <c r="N105" s="239" t="b">
        <f t="shared" si="6"/>
        <v>1</v>
      </c>
      <c r="O105" s="239" t="b">
        <f t="shared" si="6"/>
        <v>1</v>
      </c>
      <c r="P105" s="239" t="b">
        <f t="shared" si="6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7">(E95+E97+E99+E101+E103)=(E68+E69)</f>
        <v>1</v>
      </c>
      <c r="F106" s="240" t="b">
        <f t="shared" si="7"/>
        <v>1</v>
      </c>
      <c r="G106" s="240" t="b">
        <f t="shared" si="7"/>
        <v>1</v>
      </c>
      <c r="H106" s="240" t="b">
        <f t="shared" si="7"/>
        <v>1</v>
      </c>
      <c r="I106" s="240" t="b">
        <f t="shared" si="7"/>
        <v>1</v>
      </c>
      <c r="J106" s="240" t="b">
        <f t="shared" si="7"/>
        <v>1</v>
      </c>
      <c r="K106" s="240" t="b">
        <f t="shared" si="7"/>
        <v>1</v>
      </c>
      <c r="L106" s="240" t="b">
        <f t="shared" si="7"/>
        <v>1</v>
      </c>
      <c r="M106" s="240" t="b">
        <f t="shared" si="7"/>
        <v>1</v>
      </c>
      <c r="N106" s="240" t="b">
        <f t="shared" si="7"/>
        <v>1</v>
      </c>
      <c r="O106" s="240" t="b">
        <f t="shared" si="7"/>
        <v>1</v>
      </c>
      <c r="P106" s="240" t="b">
        <f t="shared" si="7"/>
        <v>1</v>
      </c>
    </row>
    <row r="107" spans="4:13">
      <c r="D107" s="96"/>
      <c r="I107" s="68"/>
      <c r="M107" s="10">
        <f>M103+M101+M99+M97+M95-M68-M69</f>
        <v>0</v>
      </c>
    </row>
    <row r="108" spans="6:16">
      <c r="F108" s="266">
        <v>5572.82</v>
      </c>
      <c r="G108" s="68">
        <f t="shared" ref="G108" si="8">G102+G100+G98+G96+G94-G93</f>
        <v>0</v>
      </c>
      <c r="M108" s="10">
        <v>218335.65</v>
      </c>
      <c r="P108" s="242">
        <v>26781378.54</v>
      </c>
    </row>
    <row r="109" spans="6:16">
      <c r="F109" s="157">
        <f>F108-F93</f>
        <v>0</v>
      </c>
      <c r="P109" s="242">
        <f>P108-P93</f>
        <v>26761699.55</v>
      </c>
    </row>
    <row r="110" s="6" customFormat="1" ht="12" spans="4:4">
      <c r="D110" s="241"/>
    </row>
    <row r="111" spans="13:13">
      <c r="M111" s="68">
        <f>M108-M93</f>
        <v>218335.65</v>
      </c>
    </row>
  </sheetData>
  <autoFilter ref="B5:P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6:P106">
    <cfRule type="cellIs" dxfId="0" priority="1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9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3.5" style="10" customWidth="1"/>
    <col min="5" max="5" width="11.75" style="6" customWidth="1"/>
    <col min="6" max="6" width="11.5" style="6" customWidth="1"/>
    <col min="7" max="8" width="11.5" style="10" customWidth="1"/>
    <col min="9" max="9" width="13.875" style="10" customWidth="1"/>
    <col min="10" max="10" width="11.5" style="10" customWidth="1"/>
    <col min="11" max="12" width="13.25" style="10" customWidth="1"/>
    <col min="13" max="14" width="12.75" style="10" customWidth="1"/>
    <col min="15" max="15" width="16.3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314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60"/>
      <c r="F6" s="21"/>
      <c r="G6" s="21"/>
      <c r="H6" s="21"/>
      <c r="I6" s="21"/>
      <c r="J6" s="21"/>
      <c r="K6" s="46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60"/>
      <c r="F7" s="21"/>
      <c r="G7" s="21"/>
      <c r="H7" s="21"/>
      <c r="I7" s="21"/>
      <c r="J7" s="21"/>
      <c r="K7" s="46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60"/>
      <c r="F8" s="21"/>
      <c r="G8" s="21"/>
      <c r="H8" s="21"/>
      <c r="I8" s="21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60"/>
      <c r="F9" s="21"/>
      <c r="G9" s="21"/>
      <c r="H9" s="21"/>
      <c r="I9" s="21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60"/>
      <c r="F10" s="21"/>
      <c r="G10" s="21"/>
      <c r="H10" s="21"/>
      <c r="I10" s="21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60"/>
      <c r="F11" s="21"/>
      <c r="G11" s="21"/>
      <c r="H11" s="21"/>
      <c r="I11" s="21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60"/>
      <c r="F12" s="21"/>
      <c r="G12" s="21"/>
      <c r="H12" s="21"/>
      <c r="I12" s="21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60"/>
      <c r="F13" s="21"/>
      <c r="G13" s="21"/>
      <c r="H13" s="21"/>
      <c r="I13" s="21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60"/>
      <c r="F14" s="21"/>
      <c r="G14" s="21"/>
      <c r="H14" s="21"/>
      <c r="I14" s="21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60"/>
      <c r="F15" s="21"/>
      <c r="G15" s="21"/>
      <c r="H15" s="21"/>
      <c r="I15" s="21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60"/>
      <c r="F16" s="21"/>
      <c r="G16" s="21"/>
      <c r="H16" s="21"/>
      <c r="I16" s="21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60"/>
      <c r="F17" s="21"/>
      <c r="G17" s="21"/>
      <c r="H17" s="21"/>
      <c r="I17" s="21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60"/>
      <c r="F18" s="21"/>
      <c r="G18" s="21"/>
      <c r="H18" s="21"/>
      <c r="I18" s="21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60"/>
      <c r="F19" s="21"/>
      <c r="G19" s="21"/>
      <c r="H19" s="21"/>
      <c r="I19" s="21"/>
      <c r="J19" s="21"/>
      <c r="K19" s="46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60"/>
      <c r="F20" s="21"/>
      <c r="G20" s="21"/>
      <c r="H20" s="21"/>
      <c r="I20" s="21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60"/>
      <c r="F21" s="21"/>
      <c r="G21" s="21"/>
      <c r="H21" s="21"/>
      <c r="I21" s="21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60"/>
      <c r="F22" s="21"/>
      <c r="G22" s="21"/>
      <c r="H22" s="21"/>
      <c r="I22" s="21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60"/>
      <c r="F23" s="21"/>
      <c r="G23" s="21"/>
      <c r="H23" s="21"/>
      <c r="I23" s="21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60"/>
      <c r="F24" s="21"/>
      <c r="G24" s="21"/>
      <c r="H24" s="21"/>
      <c r="I24" s="21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60"/>
      <c r="F25" s="21"/>
      <c r="G25" s="21"/>
      <c r="H25" s="21"/>
      <c r="I25" s="21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60"/>
      <c r="F26" s="21"/>
      <c r="G26" s="21"/>
      <c r="H26" s="21"/>
      <c r="I26" s="21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60"/>
      <c r="F27" s="21"/>
      <c r="G27" s="21"/>
      <c r="H27" s="21"/>
      <c r="I27" s="21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60"/>
      <c r="F28" s="21"/>
      <c r="G28" s="21"/>
      <c r="H28" s="21"/>
      <c r="I28" s="21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60"/>
      <c r="F29" s="21"/>
      <c r="G29" s="21"/>
      <c r="H29" s="21"/>
      <c r="I29" s="21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60"/>
      <c r="F30" s="21"/>
      <c r="G30" s="21"/>
      <c r="H30" s="21"/>
      <c r="I30" s="21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60"/>
      <c r="F31" s="21"/>
      <c r="G31" s="21"/>
      <c r="H31" s="21"/>
      <c r="I31" s="21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60"/>
      <c r="F32" s="21"/>
      <c r="G32" s="21"/>
      <c r="H32" s="21"/>
      <c r="I32" s="21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60"/>
      <c r="F33" s="21"/>
      <c r="G33" s="21"/>
      <c r="H33" s="21"/>
      <c r="I33" s="21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4914.18</v>
      </c>
      <c r="E34" s="260">
        <v>6551.21</v>
      </c>
      <c r="F34" s="21">
        <v>521</v>
      </c>
      <c r="G34" s="21">
        <v>3747.93</v>
      </c>
      <c r="H34" s="21"/>
      <c r="I34" s="21"/>
      <c r="J34" s="21"/>
      <c r="K34" s="46"/>
      <c r="L34" s="21"/>
      <c r="M34" s="21"/>
      <c r="N34" s="21"/>
      <c r="O34" s="21"/>
      <c r="P34" s="47">
        <f t="shared" si="0"/>
        <v>15734.32</v>
      </c>
    </row>
    <row r="35" s="5" customFormat="1" ht="17.25" customHeight="1" spans="1:16">
      <c r="A35" s="202"/>
      <c r="B35" s="23"/>
      <c r="C35" s="25" t="s">
        <v>105</v>
      </c>
      <c r="D35" s="21"/>
      <c r="E35" s="260"/>
      <c r="F35" s="21"/>
      <c r="G35" s="21"/>
      <c r="H35" s="21"/>
      <c r="I35" s="21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60"/>
      <c r="F36" s="21"/>
      <c r="G36" s="21">
        <v>1362.5</v>
      </c>
      <c r="H36" s="21"/>
      <c r="I36" s="21"/>
      <c r="J36" s="21"/>
      <c r="K36" s="46"/>
      <c r="L36" s="21"/>
      <c r="M36" s="21"/>
      <c r="N36" s="21"/>
      <c r="O36" s="21"/>
      <c r="P36" s="47">
        <f t="shared" si="0"/>
        <v>1362.5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925</v>
      </c>
      <c r="E37" s="260">
        <v>1306</v>
      </c>
      <c r="F37" s="21"/>
      <c r="G37" s="21">
        <v>2974</v>
      </c>
      <c r="H37" s="21"/>
      <c r="I37" s="21"/>
      <c r="J37" s="21"/>
      <c r="K37" s="46"/>
      <c r="L37" s="21"/>
      <c r="M37" s="21"/>
      <c r="N37" s="21"/>
      <c r="O37" s="21"/>
      <c r="P37" s="47">
        <f t="shared" si="0"/>
        <v>5205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60"/>
      <c r="F38" s="21"/>
      <c r="G38" s="21"/>
      <c r="H38" s="21"/>
      <c r="I38" s="21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60"/>
      <c r="F39" s="21"/>
      <c r="G39" s="21">
        <v>3800</v>
      </c>
      <c r="H39" s="21"/>
      <c r="I39" s="21"/>
      <c r="J39" s="21"/>
      <c r="K39" s="46"/>
      <c r="L39" s="21"/>
      <c r="M39" s="21"/>
      <c r="N39" s="21"/>
      <c r="O39" s="21"/>
      <c r="P39" s="47">
        <f t="shared" si="0"/>
        <v>3800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60"/>
      <c r="F40" s="21"/>
      <c r="G40" s="21"/>
      <c r="H40" s="21"/>
      <c r="I40" s="21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60"/>
      <c r="F41" s="21"/>
      <c r="G41" s="21"/>
      <c r="H41" s="21"/>
      <c r="I41" s="21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60"/>
      <c r="F42" s="21"/>
      <c r="G42" s="21">
        <v>450</v>
      </c>
      <c r="H42" s="21"/>
      <c r="I42" s="21"/>
      <c r="J42" s="21"/>
      <c r="K42" s="46"/>
      <c r="L42" s="21"/>
      <c r="M42" s="21"/>
      <c r="N42" s="21"/>
      <c r="O42" s="21"/>
      <c r="P42" s="47">
        <f t="shared" si="0"/>
        <v>450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60"/>
      <c r="F43" s="21"/>
      <c r="G43" s="21"/>
      <c r="H43" s="21"/>
      <c r="I43" s="21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60"/>
      <c r="F44" s="21"/>
      <c r="G44" s="21"/>
      <c r="H44" s="21"/>
      <c r="I44" s="21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60"/>
      <c r="F45" s="21"/>
      <c r="G45" s="21"/>
      <c r="H45" s="21"/>
      <c r="I45" s="21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60"/>
      <c r="F46" s="21"/>
      <c r="G46" s="21"/>
      <c r="H46" s="21"/>
      <c r="I46" s="21"/>
      <c r="J46" s="21"/>
      <c r="K46" s="46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60"/>
      <c r="F47" s="21"/>
      <c r="G47" s="21"/>
      <c r="H47" s="21"/>
      <c r="I47" s="21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60"/>
      <c r="F48" s="21"/>
      <c r="G48" s="21"/>
      <c r="H48" s="21"/>
      <c r="I48" s="21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60"/>
      <c r="F49" s="21"/>
      <c r="G49" s="21"/>
      <c r="H49" s="21"/>
      <c r="I49" s="21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60"/>
      <c r="F50" s="21"/>
      <c r="G50" s="21"/>
      <c r="H50" s="21"/>
      <c r="I50" s="21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60"/>
      <c r="F51" s="21"/>
      <c r="G51" s="21"/>
      <c r="H51" s="21"/>
      <c r="I51" s="21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60"/>
      <c r="F52" s="21"/>
      <c r="G52" s="21"/>
      <c r="H52" s="21"/>
      <c r="I52" s="21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60"/>
      <c r="F53" s="21"/>
      <c r="G53" s="21"/>
      <c r="H53" s="21"/>
      <c r="I53" s="21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60"/>
      <c r="F54" s="21"/>
      <c r="G54" s="21"/>
      <c r="H54" s="21"/>
      <c r="I54" s="21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60"/>
      <c r="F55" s="21"/>
      <c r="G55" s="21"/>
      <c r="H55" s="21"/>
      <c r="I55" s="21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60"/>
      <c r="F56" s="21"/>
      <c r="G56" s="21"/>
      <c r="H56" s="21"/>
      <c r="I56" s="21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60"/>
      <c r="F57" s="21"/>
      <c r="G57" s="21"/>
      <c r="H57" s="21"/>
      <c r="I57" s="21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60"/>
      <c r="F58" s="21"/>
      <c r="G58" s="21"/>
      <c r="H58" s="21"/>
      <c r="I58" s="21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60"/>
      <c r="F59" s="21"/>
      <c r="G59" s="21"/>
      <c r="H59" s="21"/>
      <c r="I59" s="21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60"/>
      <c r="F60" s="21"/>
      <c r="G60" s="21"/>
      <c r="H60" s="21"/>
      <c r="I60" s="21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60"/>
      <c r="F61" s="21"/>
      <c r="G61" s="21">
        <v>1156.9</v>
      </c>
      <c r="H61" s="21"/>
      <c r="I61" s="21"/>
      <c r="J61" s="21"/>
      <c r="K61" s="46"/>
      <c r="L61" s="21"/>
      <c r="M61" s="21"/>
      <c r="N61" s="21"/>
      <c r="O61" s="21"/>
      <c r="P61" s="47">
        <f t="shared" si="0"/>
        <v>1156.9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60"/>
      <c r="F62" s="21"/>
      <c r="G62" s="21"/>
      <c r="H62" s="21"/>
      <c r="I62" s="21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60"/>
      <c r="F63" s="21"/>
      <c r="G63" s="21"/>
      <c r="H63" s="21"/>
      <c r="I63" s="21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60"/>
      <c r="F64" s="21"/>
      <c r="G64" s="21"/>
      <c r="H64" s="21"/>
      <c r="I64" s="21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60"/>
      <c r="F65" s="21"/>
      <c r="G65" s="21"/>
      <c r="H65" s="21"/>
      <c r="I65" s="21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60"/>
      <c r="F66" s="21"/>
      <c r="G66" s="21"/>
      <c r="H66" s="21"/>
      <c r="I66" s="21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60"/>
      <c r="F67" s="21"/>
      <c r="G67" s="21"/>
      <c r="H67" s="21"/>
      <c r="I67" s="21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60"/>
      <c r="F68" s="21"/>
      <c r="G68" s="21"/>
      <c r="H68" s="21"/>
      <c r="I68" s="21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60"/>
      <c r="F69" s="21"/>
      <c r="G69" s="21">
        <v>1376.15</v>
      </c>
      <c r="H69" s="21"/>
      <c r="I69" s="21"/>
      <c r="J69" s="21"/>
      <c r="K69" s="46"/>
      <c r="L69" s="21"/>
      <c r="M69" s="21"/>
      <c r="N69" s="21"/>
      <c r="O69" s="21"/>
      <c r="P69" s="47">
        <f t="shared" si="0"/>
        <v>1376.15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60"/>
      <c r="F70" s="21"/>
      <c r="G70" s="21">
        <v>100</v>
      </c>
      <c r="H70" s="21"/>
      <c r="I70" s="21"/>
      <c r="J70" s="21"/>
      <c r="K70" s="46"/>
      <c r="L70" s="21"/>
      <c r="M70" s="21"/>
      <c r="N70" s="21"/>
      <c r="O70" s="21"/>
      <c r="P70" s="47">
        <f t="shared" si="0"/>
        <v>100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60"/>
      <c r="F71" s="21"/>
      <c r="G71" s="21"/>
      <c r="H71" s="21"/>
      <c r="I71" s="21"/>
      <c r="J71" s="21"/>
      <c r="K71" s="46"/>
      <c r="L71" s="21"/>
      <c r="M71" s="21"/>
      <c r="N71" s="21"/>
      <c r="O71" s="21"/>
      <c r="P71" s="47">
        <f t="shared" ref="P71:P103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60"/>
      <c r="F72" s="21"/>
      <c r="G72" s="21"/>
      <c r="H72" s="21"/>
      <c r="I72" s="21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60"/>
      <c r="F73" s="21"/>
      <c r="G73" s="21"/>
      <c r="H73" s="21"/>
      <c r="I73" s="21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60"/>
      <c r="F74" s="21"/>
      <c r="G74" s="21"/>
      <c r="H74" s="21"/>
      <c r="I74" s="21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60"/>
      <c r="F75" s="21"/>
      <c r="G75" s="21"/>
      <c r="H75" s="21"/>
      <c r="I75" s="21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60"/>
      <c r="F76" s="21"/>
      <c r="G76" s="21"/>
      <c r="H76" s="21"/>
      <c r="I76" s="21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60"/>
      <c r="F77" s="21"/>
      <c r="G77" s="21">
        <v>800</v>
      </c>
      <c r="H77" s="21"/>
      <c r="I77" s="21"/>
      <c r="J77" s="21"/>
      <c r="K77" s="46"/>
      <c r="L77" s="21"/>
      <c r="M77" s="21"/>
      <c r="N77" s="21"/>
      <c r="O77" s="21"/>
      <c r="P77" s="47">
        <f t="shared" si="1"/>
        <v>800</v>
      </c>
    </row>
    <row r="78" s="5" customFormat="1" ht="17.25" customHeight="1" spans="1:16">
      <c r="A78" s="221"/>
      <c r="B78" s="23"/>
      <c r="C78" s="218" t="s">
        <v>158</v>
      </c>
      <c r="D78" s="21"/>
      <c r="E78" s="260"/>
      <c r="F78" s="21"/>
      <c r="G78" s="21"/>
      <c r="H78" s="21"/>
      <c r="I78" s="21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60"/>
      <c r="F79" s="21"/>
      <c r="G79" s="21"/>
      <c r="H79" s="21"/>
      <c r="I79" s="21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60"/>
      <c r="F80" s="21"/>
      <c r="G80" s="21"/>
      <c r="H80" s="21"/>
      <c r="I80" s="21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60"/>
      <c r="F81" s="21"/>
      <c r="G81" s="21"/>
      <c r="H81" s="21"/>
      <c r="I81" s="21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60"/>
      <c r="F82" s="21"/>
      <c r="G82" s="21"/>
      <c r="H82" s="21"/>
      <c r="I82" s="21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60"/>
      <c r="F83" s="21"/>
      <c r="G83" s="21"/>
      <c r="H83" s="21"/>
      <c r="I83" s="21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60"/>
      <c r="F84" s="21"/>
      <c r="G84" s="21"/>
      <c r="H84" s="21"/>
      <c r="I84" s="21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60"/>
      <c r="F85" s="21"/>
      <c r="G85" s="21"/>
      <c r="H85" s="21"/>
      <c r="I85" s="21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60"/>
      <c r="F86" s="21"/>
      <c r="G86" s="21"/>
      <c r="H86" s="21"/>
      <c r="I86" s="21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60"/>
      <c r="F87" s="21"/>
      <c r="G87" s="21"/>
      <c r="H87" s="21"/>
      <c r="I87" s="21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60"/>
      <c r="F88" s="21"/>
      <c r="G88" s="21"/>
      <c r="H88" s="21"/>
      <c r="I88" s="21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60"/>
      <c r="F89" s="21"/>
      <c r="G89" s="21"/>
      <c r="H89" s="21"/>
      <c r="I89" s="21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60"/>
      <c r="F90" s="21"/>
      <c r="G90" s="21"/>
      <c r="H90" s="21"/>
      <c r="I90" s="21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60"/>
      <c r="F91" s="21"/>
      <c r="G91" s="21"/>
      <c r="H91" s="21"/>
      <c r="I91" s="21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60"/>
      <c r="F92" s="21"/>
      <c r="G92" s="21"/>
      <c r="H92" s="21"/>
      <c r="I92" s="21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5839.18</v>
      </c>
      <c r="E93" s="58">
        <f t="shared" ref="E93:P93" si="2">SUM(E6:E92)</f>
        <v>7857.21</v>
      </c>
      <c r="F93" s="58">
        <f t="shared" si="2"/>
        <v>521</v>
      </c>
      <c r="G93" s="58">
        <f t="shared" si="2"/>
        <v>15767.48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74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29984.87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74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261" t="s">
        <v>308</v>
      </c>
      <c r="B95" s="262"/>
      <c r="C95" s="263"/>
      <c r="D95" s="235"/>
      <c r="E95" s="235"/>
      <c r="F95" s="235"/>
      <c r="G95" s="235"/>
      <c r="H95" s="236"/>
      <c r="I95" s="236"/>
      <c r="J95" s="236"/>
      <c r="K95" s="74"/>
      <c r="L95" s="236"/>
      <c r="M95" s="236"/>
      <c r="N95" s="236"/>
      <c r="O95" s="236"/>
      <c r="P95" s="47">
        <f t="shared" si="1"/>
        <v>0</v>
      </c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236"/>
      <c r="J96" s="236"/>
      <c r="K96" s="74"/>
      <c r="L96" s="236"/>
      <c r="M96" s="236"/>
      <c r="N96" s="236"/>
      <c r="O96" s="236"/>
      <c r="P96" s="47">
        <f t="shared" si="1"/>
        <v>0</v>
      </c>
    </row>
    <row r="97" s="7" customFormat="1" ht="15" customHeight="1" spans="1:16">
      <c r="A97" s="261" t="s">
        <v>308</v>
      </c>
      <c r="B97" s="262"/>
      <c r="C97" s="263"/>
      <c r="D97" s="235"/>
      <c r="E97" s="235"/>
      <c r="F97" s="235"/>
      <c r="G97" s="235"/>
      <c r="H97" s="236"/>
      <c r="I97" s="236"/>
      <c r="J97" s="236"/>
      <c r="K97" s="74"/>
      <c r="L97" s="236"/>
      <c r="M97" s="236"/>
      <c r="N97" s="236"/>
      <c r="O97" s="236"/>
      <c r="P97" s="47">
        <f t="shared" si="1"/>
        <v>0</v>
      </c>
    </row>
    <row r="98" s="7" customFormat="1" ht="15" customHeight="1" spans="1:16">
      <c r="A98" s="252" t="s">
        <v>178</v>
      </c>
      <c r="B98" s="253"/>
      <c r="C98" s="254"/>
      <c r="D98" s="236">
        <f>D93</f>
        <v>5839.18</v>
      </c>
      <c r="E98" s="236">
        <f t="shared" ref="E98:O98" si="3">E93</f>
        <v>7857.21</v>
      </c>
      <c r="F98" s="236">
        <f t="shared" si="3"/>
        <v>521</v>
      </c>
      <c r="G98" s="236">
        <f t="shared" si="3"/>
        <v>15767.48</v>
      </c>
      <c r="H98" s="236">
        <f t="shared" si="3"/>
        <v>0</v>
      </c>
      <c r="I98" s="236">
        <f t="shared" si="3"/>
        <v>0</v>
      </c>
      <c r="J98" s="236">
        <f t="shared" si="3"/>
        <v>0</v>
      </c>
      <c r="K98" s="236">
        <f t="shared" si="3"/>
        <v>0</v>
      </c>
      <c r="L98" s="236">
        <f t="shared" si="3"/>
        <v>0</v>
      </c>
      <c r="M98" s="236">
        <f t="shared" si="3"/>
        <v>0</v>
      </c>
      <c r="N98" s="236">
        <f t="shared" si="3"/>
        <v>0</v>
      </c>
      <c r="O98" s="236">
        <f t="shared" si="3"/>
        <v>0</v>
      </c>
      <c r="P98" s="47">
        <f t="shared" si="1"/>
        <v>29984.87</v>
      </c>
    </row>
    <row r="99" s="7" customFormat="1" ht="15" customHeight="1" spans="1:16">
      <c r="A99" s="261" t="s">
        <v>308</v>
      </c>
      <c r="B99" s="262"/>
      <c r="C99" s="263"/>
      <c r="D99" s="47">
        <f>D69+D68</f>
        <v>0</v>
      </c>
      <c r="E99" s="47">
        <f t="shared" ref="E99:O99" si="4">E69+E68</f>
        <v>0</v>
      </c>
      <c r="F99" s="47">
        <f t="shared" si="4"/>
        <v>0</v>
      </c>
      <c r="G99" s="47">
        <f t="shared" si="4"/>
        <v>1376.15</v>
      </c>
      <c r="H99" s="47">
        <f t="shared" si="4"/>
        <v>0</v>
      </c>
      <c r="I99" s="47">
        <f t="shared" si="4"/>
        <v>0</v>
      </c>
      <c r="J99" s="47">
        <f t="shared" si="4"/>
        <v>0</v>
      </c>
      <c r="K99" s="47">
        <f t="shared" si="4"/>
        <v>0</v>
      </c>
      <c r="L99" s="47">
        <f t="shared" si="4"/>
        <v>0</v>
      </c>
      <c r="M99" s="47">
        <f t="shared" si="4"/>
        <v>0</v>
      </c>
      <c r="N99" s="47">
        <f t="shared" si="4"/>
        <v>0</v>
      </c>
      <c r="O99" s="47">
        <f t="shared" si="4"/>
        <v>0</v>
      </c>
      <c r="P99" s="47">
        <f t="shared" si="1"/>
        <v>1376.15</v>
      </c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236"/>
      <c r="H100" s="236"/>
      <c r="I100" s="236"/>
      <c r="J100" s="236"/>
      <c r="K100" s="74"/>
      <c r="L100" s="236"/>
      <c r="M100" s="236"/>
      <c r="N100" s="236"/>
      <c r="O100" s="236"/>
      <c r="P100" s="47">
        <f t="shared" si="1"/>
        <v>0</v>
      </c>
    </row>
    <row r="101" s="7" customFormat="1" ht="15" customHeight="1" spans="1:16">
      <c r="A101" s="261" t="s">
        <v>308</v>
      </c>
      <c r="B101" s="262"/>
      <c r="C101" s="263"/>
      <c r="D101" s="47"/>
      <c r="E101" s="47"/>
      <c r="F101" s="47"/>
      <c r="G101" s="236"/>
      <c r="H101" s="236"/>
      <c r="I101" s="236"/>
      <c r="J101" s="236"/>
      <c r="K101" s="264"/>
      <c r="L101" s="236"/>
      <c r="M101" s="236"/>
      <c r="N101" s="236"/>
      <c r="O101" s="236"/>
      <c r="P101" s="47">
        <f t="shared" si="1"/>
        <v>0</v>
      </c>
    </row>
    <row r="102" s="7" customFormat="1" ht="15" customHeight="1" spans="1:16">
      <c r="A102" s="252" t="s">
        <v>180</v>
      </c>
      <c r="B102" s="253"/>
      <c r="C102" s="254"/>
      <c r="D102" s="47"/>
      <c r="E102" s="47"/>
      <c r="F102" s="47"/>
      <c r="G102" s="236"/>
      <c r="H102" s="236"/>
      <c r="I102" s="236"/>
      <c r="J102" s="236"/>
      <c r="K102" s="74"/>
      <c r="L102" s="236"/>
      <c r="M102" s="236"/>
      <c r="N102" s="236"/>
      <c r="O102" s="236"/>
      <c r="P102" s="47">
        <f t="shared" si="1"/>
        <v>0</v>
      </c>
    </row>
    <row r="103" s="7" customFormat="1" ht="15" customHeight="1" spans="1:16">
      <c r="A103" s="261" t="s">
        <v>308</v>
      </c>
      <c r="B103" s="262"/>
      <c r="C103" s="263"/>
      <c r="D103" s="236"/>
      <c r="E103" s="236"/>
      <c r="F103" s="236"/>
      <c r="G103" s="236"/>
      <c r="H103" s="236"/>
      <c r="I103" s="236"/>
      <c r="J103" s="236"/>
      <c r="K103" s="236"/>
      <c r="L103" s="236"/>
      <c r="M103" s="236"/>
      <c r="N103" s="236"/>
      <c r="O103" s="236"/>
      <c r="P103" s="47">
        <f t="shared" si="1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5">SUM(E94,E96,E98,E100,E102)=E93</f>
        <v>1</v>
      </c>
      <c r="F105" s="239" t="b">
        <f t="shared" si="5"/>
        <v>1</v>
      </c>
      <c r="G105" s="239" t="b">
        <f t="shared" si="5"/>
        <v>1</v>
      </c>
      <c r="H105" s="239" t="b">
        <f t="shared" si="5"/>
        <v>1</v>
      </c>
      <c r="I105" s="239" t="b">
        <f t="shared" si="5"/>
        <v>1</v>
      </c>
      <c r="J105" s="239" t="b">
        <f t="shared" si="5"/>
        <v>1</v>
      </c>
      <c r="K105" s="239" t="b">
        <f t="shared" si="5"/>
        <v>1</v>
      </c>
      <c r="L105" s="239" t="b">
        <f t="shared" si="5"/>
        <v>1</v>
      </c>
      <c r="M105" s="239" t="b">
        <f t="shared" si="5"/>
        <v>1</v>
      </c>
      <c r="N105" s="239" t="b">
        <f t="shared" si="5"/>
        <v>1</v>
      </c>
      <c r="O105" s="239" t="b">
        <f t="shared" si="5"/>
        <v>1</v>
      </c>
      <c r="P105" s="239" t="b">
        <f t="shared" si="5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6">(E95+E97+E99+E101+E103)=(E68+E69)</f>
        <v>1</v>
      </c>
      <c r="F106" s="240" t="b">
        <f t="shared" si="6"/>
        <v>1</v>
      </c>
      <c r="G106" s="240" t="b">
        <f t="shared" si="6"/>
        <v>1</v>
      </c>
      <c r="H106" s="240" t="b">
        <f t="shared" si="6"/>
        <v>1</v>
      </c>
      <c r="I106" s="240" t="b">
        <f t="shared" si="6"/>
        <v>1</v>
      </c>
      <c r="J106" s="240" t="b">
        <f t="shared" si="6"/>
        <v>1</v>
      </c>
      <c r="K106" s="240" t="b">
        <f t="shared" si="6"/>
        <v>1</v>
      </c>
      <c r="L106" s="240" t="b">
        <f t="shared" si="6"/>
        <v>1</v>
      </c>
      <c r="M106" s="240" t="b">
        <f t="shared" si="6"/>
        <v>1</v>
      </c>
      <c r="N106" s="240" t="b">
        <f t="shared" si="6"/>
        <v>1</v>
      </c>
      <c r="O106" s="240" t="b">
        <f t="shared" si="6"/>
        <v>1</v>
      </c>
      <c r="P106" s="240" t="b">
        <f t="shared" si="6"/>
        <v>1</v>
      </c>
    </row>
    <row r="107" spans="9:16">
      <c r="I107" s="68"/>
      <c r="L107" s="265"/>
      <c r="M107" s="265"/>
      <c r="N107" s="265"/>
      <c r="O107" s="265"/>
      <c r="P107" s="265"/>
    </row>
    <row r="108" spans="4:7">
      <c r="D108" s="68"/>
      <c r="G108" s="68">
        <f t="shared" ref="G108" si="7">G102+G100+G98+G96+G94-G93</f>
        <v>0</v>
      </c>
    </row>
    <row r="109" spans="4:16">
      <c r="D109" s="96"/>
      <c r="P109" s="68"/>
    </row>
    <row r="110" s="6" customFormat="1" ht="12" spans="4:4">
      <c r="D110" s="241"/>
    </row>
    <row r="111" spans="4:7">
      <c r="D111" s="68"/>
      <c r="G111" s="6"/>
    </row>
    <row r="112" spans="7:7">
      <c r="G112" s="6"/>
    </row>
    <row r="113" spans="7:7">
      <c r="G113" s="6"/>
    </row>
    <row r="114" spans="7:7">
      <c r="G114" s="6"/>
    </row>
    <row r="115" spans="7:7">
      <c r="G115" s="6"/>
    </row>
    <row r="116" spans="7:7">
      <c r="G116" s="6"/>
    </row>
    <row r="117" spans="7:7">
      <c r="G117" s="6"/>
    </row>
    <row r="118" spans="7:7">
      <c r="G118" s="6"/>
    </row>
    <row r="119" spans="7:7">
      <c r="G119" s="6"/>
    </row>
  </sheetData>
  <autoFilter ref="A5:O106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K41">
    <cfRule type="cellIs" dxfId="0" priority="3" stopIfTrue="1" operator="equal">
      <formula>"no"</formula>
    </cfRule>
    <cfRule type="cellIs" dxfId="0" priority="9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A41:C41 A34:C34 O41:IV41">
    <cfRule type="cellIs" dxfId="0" priority="10" stopIfTrue="1" operator="equal">
      <formula>"no"</formula>
    </cfRule>
  </conditionalFormatting>
  <conditionalFormatting sqref="G41:J41 L41:N41 P41:XFD41 A41:D41">
    <cfRule type="cellIs" dxfId="0" priority="11" stopIfTrue="1" operator="equal">
      <formula>"no"</formula>
    </cfRule>
  </conditionalFormatting>
  <conditionalFormatting sqref="A41:D41 O41:XFD41 F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:L41">
    <cfRule type="cellIs" dxfId="0" priority="6" stopIfTrue="1" operator="equal">
      <formula>"no"</formula>
    </cfRule>
  </conditionalFormatting>
  <conditionalFormatting sqref="A41:C41 F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9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5.125" style="10" customWidth="1"/>
    <col min="8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315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/>
      <c r="F6" s="21"/>
      <c r="G6" s="21">
        <v>0</v>
      </c>
      <c r="H6" s="21"/>
      <c r="I6" s="21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/>
      <c r="F7" s="21"/>
      <c r="G7" s="21">
        <v>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/>
      <c r="G19" s="21">
        <v>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>
        <v>0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>
        <v>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1362</v>
      </c>
      <c r="E34" s="21"/>
      <c r="F34" s="21">
        <v>441.5</v>
      </c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1803.5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8570</v>
      </c>
      <c r="E37" s="21"/>
      <c r="F37" s="21"/>
      <c r="G37" s="21">
        <v>-4110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4460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>
        <v>0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>
        <v>0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>
        <v>5504.59</v>
      </c>
      <c r="G48" s="21">
        <v>156027.78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161532.37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>
        <v>896.96</v>
      </c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896.96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115328.71</v>
      </c>
      <c r="E69" s="21">
        <v>55858.4</v>
      </c>
      <c r="F69" s="21">
        <v>226229.92</v>
      </c>
      <c r="G69" s="21">
        <v>263567.47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660984.5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38</v>
      </c>
      <c r="E70" s="21"/>
      <c r="F70" s="21"/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38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>
        <v>0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125298.71</v>
      </c>
      <c r="E93" s="58">
        <f t="shared" ref="E93:P93" si="2">SUM(E6:E92)</f>
        <v>55858.4</v>
      </c>
      <c r="F93" s="58">
        <f t="shared" si="2"/>
        <v>233072.97</v>
      </c>
      <c r="G93" s="58">
        <f t="shared" si="2"/>
        <v>415485.25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829715.33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261" t="s">
        <v>308</v>
      </c>
      <c r="B95" s="262"/>
      <c r="C95" s="263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3">SUM(D95:O95)</f>
        <v>0</v>
      </c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3"/>
        <v>0</v>
      </c>
    </row>
    <row r="97" s="7" customFormat="1" ht="15" customHeight="1" spans="1:16">
      <c r="A97" s="261" t="s">
        <v>308</v>
      </c>
      <c r="B97" s="262"/>
      <c r="C97" s="263"/>
      <c r="D97" s="235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3"/>
        <v>0</v>
      </c>
    </row>
    <row r="98" s="7" customFormat="1" ht="15" customHeight="1" spans="1:16">
      <c r="A98" s="252" t="s">
        <v>178</v>
      </c>
      <c r="B98" s="253"/>
      <c r="C98" s="254"/>
      <c r="D98" s="47">
        <v>125298.71</v>
      </c>
      <c r="E98" s="47">
        <v>55858.4</v>
      </c>
      <c r="F98" s="47">
        <v>233072.97</v>
      </c>
      <c r="G98" s="47">
        <v>415485.25</v>
      </c>
      <c r="H98" s="47">
        <f t="shared" ref="H98:O98" si="4">H93</f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47">
        <f t="shared" si="3"/>
        <v>829715.33</v>
      </c>
    </row>
    <row r="99" s="7" customFormat="1" ht="15" customHeight="1" spans="1:16">
      <c r="A99" s="261" t="s">
        <v>308</v>
      </c>
      <c r="B99" s="262"/>
      <c r="C99" s="263"/>
      <c r="D99" s="47">
        <v>115328.71</v>
      </c>
      <c r="E99" s="47">
        <v>55858.4</v>
      </c>
      <c r="F99" s="47">
        <v>226229.92</v>
      </c>
      <c r="G99" s="47">
        <v>263567.47</v>
      </c>
      <c r="H99" s="47">
        <f t="shared" ref="H99:O99" si="5">H69+H68</f>
        <v>0</v>
      </c>
      <c r="I99" s="47">
        <f t="shared" si="5"/>
        <v>0</v>
      </c>
      <c r="J99" s="47">
        <f t="shared" si="5"/>
        <v>0</v>
      </c>
      <c r="K99" s="47">
        <f t="shared" si="5"/>
        <v>0</v>
      </c>
      <c r="L99" s="47">
        <f t="shared" si="5"/>
        <v>0</v>
      </c>
      <c r="M99" s="47">
        <f t="shared" si="5"/>
        <v>0</v>
      </c>
      <c r="N99" s="47">
        <f t="shared" si="5"/>
        <v>0</v>
      </c>
      <c r="O99" s="47">
        <f t="shared" si="5"/>
        <v>0</v>
      </c>
      <c r="P99" s="47">
        <f t="shared" si="3"/>
        <v>660984.5</v>
      </c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236"/>
      <c r="H100" s="236"/>
      <c r="I100" s="236"/>
      <c r="J100" s="236"/>
      <c r="K100" s="236"/>
      <c r="L100" s="236"/>
      <c r="M100" s="236"/>
      <c r="N100" s="236"/>
      <c r="O100" s="236"/>
      <c r="P100" s="47">
        <f t="shared" si="3"/>
        <v>0</v>
      </c>
    </row>
    <row r="101" s="7" customFormat="1" ht="15" customHeight="1" spans="1:16">
      <c r="A101" s="261" t="s">
        <v>308</v>
      </c>
      <c r="B101" s="262"/>
      <c r="C101" s="263"/>
      <c r="D101" s="47"/>
      <c r="E101" s="47"/>
      <c r="F101" s="47"/>
      <c r="G101" s="236"/>
      <c r="H101" s="236"/>
      <c r="I101" s="236"/>
      <c r="J101" s="236"/>
      <c r="K101" s="236"/>
      <c r="L101" s="236"/>
      <c r="M101" s="236"/>
      <c r="N101" s="236"/>
      <c r="O101" s="236"/>
      <c r="P101" s="47">
        <f t="shared" si="3"/>
        <v>0</v>
      </c>
    </row>
    <row r="102" s="7" customFormat="1" ht="15" customHeight="1" spans="1:16">
      <c r="A102" s="252" t="s">
        <v>180</v>
      </c>
      <c r="B102" s="253"/>
      <c r="C102" s="254"/>
      <c r="D102" s="47"/>
      <c r="E102" s="47"/>
      <c r="F102" s="47"/>
      <c r="G102" s="74"/>
      <c r="H102" s="236"/>
      <c r="I102" s="236"/>
      <c r="J102" s="236"/>
      <c r="K102" s="236"/>
      <c r="L102" s="236"/>
      <c r="M102" s="236"/>
      <c r="N102" s="236"/>
      <c r="O102" s="236"/>
      <c r="P102" s="47">
        <f t="shared" si="3"/>
        <v>0</v>
      </c>
    </row>
    <row r="103" s="7" customFormat="1" ht="15" customHeight="1" spans="1:16">
      <c r="A103" s="261" t="s">
        <v>308</v>
      </c>
      <c r="B103" s="262"/>
      <c r="C103" s="263"/>
      <c r="D103" s="47"/>
      <c r="E103" s="47"/>
      <c r="F103" s="47"/>
      <c r="G103" s="47"/>
      <c r="H103" s="47"/>
      <c r="I103" s="47"/>
      <c r="J103" s="47"/>
      <c r="K103" s="47"/>
      <c r="L103" s="236"/>
      <c r="M103" s="236"/>
      <c r="N103" s="236"/>
      <c r="O103" s="236"/>
      <c r="P103" s="47">
        <f t="shared" si="3"/>
        <v>0</v>
      </c>
    </row>
    <row r="104" ht="19.5" customHeight="1" spans="1:16">
      <c r="A104" s="190"/>
      <c r="D104" s="239" t="b">
        <f>SUM(D94,D96,D98,D100,D102)=D93</f>
        <v>1</v>
      </c>
      <c r="E104" s="239" t="b">
        <f t="shared" ref="E104:P104" si="6">SUM(E94,E96,E98,E100,E102)=E93</f>
        <v>1</v>
      </c>
      <c r="F104" s="239" t="b">
        <f t="shared" si="6"/>
        <v>1</v>
      </c>
      <c r="G104" s="239" t="b">
        <f t="shared" si="6"/>
        <v>1</v>
      </c>
      <c r="H104" s="239" t="b">
        <f t="shared" si="6"/>
        <v>1</v>
      </c>
      <c r="I104" s="239" t="b">
        <f t="shared" si="6"/>
        <v>1</v>
      </c>
      <c r="J104" s="239" t="b">
        <f t="shared" si="6"/>
        <v>1</v>
      </c>
      <c r="K104" s="239" t="b">
        <f t="shared" si="6"/>
        <v>1</v>
      </c>
      <c r="L104" s="239" t="b">
        <f t="shared" si="6"/>
        <v>1</v>
      </c>
      <c r="M104" s="239" t="b">
        <f t="shared" si="6"/>
        <v>1</v>
      </c>
      <c r="N104" s="239" t="b">
        <f t="shared" si="6"/>
        <v>1</v>
      </c>
      <c r="O104" s="239" t="b">
        <f t="shared" si="6"/>
        <v>1</v>
      </c>
      <c r="P104" s="239" t="b">
        <f t="shared" si="6"/>
        <v>1</v>
      </c>
    </row>
    <row r="105" s="6" customFormat="1" ht="13.5" spans="4:16">
      <c r="D105" s="240" t="b">
        <f>(D95+D97+D99+D101+D103)=(D68+D69)</f>
        <v>1</v>
      </c>
      <c r="E105" s="240" t="b">
        <f t="shared" ref="E105:P105" si="7">(E95+E97+E99+E101+E103)=(E68+E69)</f>
        <v>1</v>
      </c>
      <c r="F105" s="240" t="b">
        <f t="shared" si="7"/>
        <v>1</v>
      </c>
      <c r="G105" s="240" t="b">
        <f t="shared" si="7"/>
        <v>1</v>
      </c>
      <c r="H105" s="240" t="b">
        <f t="shared" si="7"/>
        <v>1</v>
      </c>
      <c r="I105" s="240" t="b">
        <f t="shared" si="7"/>
        <v>1</v>
      </c>
      <c r="J105" s="240" t="b">
        <f t="shared" si="7"/>
        <v>1</v>
      </c>
      <c r="K105" s="240" t="b">
        <f t="shared" si="7"/>
        <v>1</v>
      </c>
      <c r="L105" s="240" t="b">
        <f t="shared" si="7"/>
        <v>1</v>
      </c>
      <c r="M105" s="240" t="b">
        <f t="shared" si="7"/>
        <v>1</v>
      </c>
      <c r="N105" s="240" t="b">
        <f t="shared" si="7"/>
        <v>1</v>
      </c>
      <c r="O105" s="240" t="b">
        <f t="shared" si="7"/>
        <v>1</v>
      </c>
      <c r="P105" s="240" t="b">
        <f t="shared" si="7"/>
        <v>1</v>
      </c>
    </row>
    <row r="106" spans="9:14">
      <c r="I106" s="68"/>
      <c r="N106" s="10">
        <f>N103+N101+N99+N97+N95-N68-N69</f>
        <v>0</v>
      </c>
    </row>
    <row r="107" spans="7:16">
      <c r="G107" s="68">
        <f t="shared" ref="G107" si="8">G102+G100+G98+G96+G94-G93</f>
        <v>0</v>
      </c>
      <c r="P107" s="242">
        <v>26781378.54</v>
      </c>
    </row>
    <row r="108" spans="16:16">
      <c r="P108" s="242">
        <f>P107-P93</f>
        <v>25951663.21</v>
      </c>
    </row>
    <row r="109" s="6" customFormat="1" ht="12" spans="4:4">
      <c r="D109" s="241"/>
    </row>
  </sheetData>
  <autoFilter ref="B5:P108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5:P105">
    <cfRule type="cellIs" dxfId="0" priority="1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5:C105 Q105:IK105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6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4.12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316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>
        <v>7190</v>
      </c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7190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>
        <v>15790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15790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>
        <v>1086324.63</v>
      </c>
      <c r="F58" s="21">
        <v>1656404.27</v>
      </c>
      <c r="G58" s="21">
        <v>1611434.24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4354163.14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783569.48</v>
      </c>
      <c r="E69" s="21">
        <v>805378.63</v>
      </c>
      <c r="F69" s="21">
        <v>1689922.03</v>
      </c>
      <c r="G69" s="21">
        <v>1460673.48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4739543.62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783569.48</v>
      </c>
      <c r="E93" s="58">
        <f t="shared" ref="E93:P93" si="2">SUM(E6:E92)</f>
        <v>1891703.26</v>
      </c>
      <c r="F93" s="58">
        <f t="shared" si="2"/>
        <v>3353516.3</v>
      </c>
      <c r="G93" s="58">
        <f t="shared" si="2"/>
        <v>3087897.72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9116686.76</v>
      </c>
    </row>
    <row r="94" s="7" customFormat="1" ht="15" customHeight="1" spans="1:16">
      <c r="A94" s="61" t="s">
        <v>176</v>
      </c>
      <c r="B94" s="62"/>
      <c r="C94" s="63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61"/>
      <c r="B95" s="237" t="s">
        <v>308</v>
      </c>
      <c r="C95" s="63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3">SUM(D95:O95)</f>
        <v>0</v>
      </c>
    </row>
    <row r="96" s="7" customFormat="1" ht="15" customHeight="1" spans="1:16">
      <c r="A96" s="61" t="s">
        <v>177</v>
      </c>
      <c r="B96" s="62"/>
      <c r="C96" s="63"/>
      <c r="D96" s="235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3"/>
        <v>0</v>
      </c>
    </row>
    <row r="97" s="7" customFormat="1" ht="15" customHeight="1" spans="1:16">
      <c r="A97" s="61"/>
      <c r="B97" s="237" t="s">
        <v>308</v>
      </c>
      <c r="C97" s="63"/>
      <c r="D97" s="235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3"/>
        <v>0</v>
      </c>
    </row>
    <row r="98" s="7" customFormat="1" ht="15" customHeight="1" spans="1:16">
      <c r="A98" s="61" t="s">
        <v>178</v>
      </c>
      <c r="B98" s="62"/>
      <c r="C98" s="63"/>
      <c r="D98" s="47">
        <f>D93</f>
        <v>783569.48</v>
      </c>
      <c r="E98" s="47">
        <f t="shared" ref="E98:O98" si="4">E93</f>
        <v>1891703.26</v>
      </c>
      <c r="F98" s="47">
        <f t="shared" si="4"/>
        <v>3353516.3</v>
      </c>
      <c r="G98" s="47">
        <f t="shared" si="4"/>
        <v>3087897.72</v>
      </c>
      <c r="H98" s="47">
        <f t="shared" si="4"/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47">
        <f t="shared" si="3"/>
        <v>9116686.76</v>
      </c>
    </row>
    <row r="99" s="7" customFormat="1" ht="15" customHeight="1" spans="1:16">
      <c r="A99" s="61"/>
      <c r="B99" s="237" t="s">
        <v>308</v>
      </c>
      <c r="C99" s="63"/>
      <c r="D99" s="260">
        <f>D69+D68</f>
        <v>783569.48</v>
      </c>
      <c r="E99" s="260">
        <f t="shared" ref="E99:O99" si="5">E69+E68</f>
        <v>805378.63</v>
      </c>
      <c r="F99" s="260">
        <f t="shared" si="5"/>
        <v>1689922.03</v>
      </c>
      <c r="G99" s="260">
        <f t="shared" si="5"/>
        <v>1460673.48</v>
      </c>
      <c r="H99" s="260">
        <f t="shared" si="5"/>
        <v>0</v>
      </c>
      <c r="I99" s="260">
        <f t="shared" si="5"/>
        <v>0</v>
      </c>
      <c r="J99" s="260">
        <f t="shared" si="5"/>
        <v>0</v>
      </c>
      <c r="K99" s="260">
        <f t="shared" si="5"/>
        <v>0</v>
      </c>
      <c r="L99" s="260">
        <f t="shared" si="5"/>
        <v>0</v>
      </c>
      <c r="M99" s="260">
        <f t="shared" si="5"/>
        <v>0</v>
      </c>
      <c r="N99" s="260">
        <f t="shared" si="5"/>
        <v>0</v>
      </c>
      <c r="O99" s="260">
        <f t="shared" si="5"/>
        <v>0</v>
      </c>
      <c r="P99" s="47">
        <f t="shared" si="3"/>
        <v>4739543.62</v>
      </c>
    </row>
    <row r="100" s="7" customFormat="1" ht="15" customHeight="1" spans="1:16">
      <c r="A100" s="61" t="s">
        <v>179</v>
      </c>
      <c r="B100" s="62"/>
      <c r="C100" s="63"/>
      <c r="D100" s="47"/>
      <c r="E100" s="47"/>
      <c r="F100" s="47"/>
      <c r="G100" s="236"/>
      <c r="H100" s="236"/>
      <c r="I100" s="236"/>
      <c r="J100" s="236"/>
      <c r="K100" s="236"/>
      <c r="L100" s="236"/>
      <c r="M100" s="236"/>
      <c r="N100" s="236"/>
      <c r="O100" s="236"/>
      <c r="P100" s="47">
        <f t="shared" si="3"/>
        <v>0</v>
      </c>
    </row>
    <row r="101" s="7" customFormat="1" ht="15" customHeight="1" spans="1:16">
      <c r="A101" s="61"/>
      <c r="B101" s="237" t="s">
        <v>308</v>
      </c>
      <c r="C101" s="63"/>
      <c r="D101" s="47"/>
      <c r="E101" s="47"/>
      <c r="F101" s="47"/>
      <c r="G101" s="236"/>
      <c r="H101" s="236"/>
      <c r="I101" s="236"/>
      <c r="J101" s="236"/>
      <c r="K101" s="236"/>
      <c r="L101" s="236"/>
      <c r="M101" s="236"/>
      <c r="N101" s="236"/>
      <c r="O101" s="236"/>
      <c r="P101" s="47">
        <f t="shared" si="3"/>
        <v>0</v>
      </c>
    </row>
    <row r="102" s="7" customFormat="1" ht="15" customHeight="1" spans="1:16">
      <c r="A102" s="61" t="s">
        <v>180</v>
      </c>
      <c r="B102" s="62"/>
      <c r="C102" s="63"/>
      <c r="D102" s="47"/>
      <c r="E102" s="47"/>
      <c r="F102" s="47"/>
      <c r="G102" s="74"/>
      <c r="H102" s="236"/>
      <c r="I102" s="236"/>
      <c r="J102" s="236"/>
      <c r="K102" s="236"/>
      <c r="L102" s="236"/>
      <c r="M102" s="236"/>
      <c r="N102" s="236"/>
      <c r="O102" s="236"/>
      <c r="P102" s="47">
        <f t="shared" si="3"/>
        <v>0</v>
      </c>
    </row>
    <row r="103" s="7" customFormat="1" ht="15" customHeight="1" spans="1:16">
      <c r="A103" s="61"/>
      <c r="B103" s="237" t="s">
        <v>308</v>
      </c>
      <c r="C103" s="63"/>
      <c r="D103" s="47"/>
      <c r="E103" s="47"/>
      <c r="F103" s="47"/>
      <c r="G103" s="47"/>
      <c r="H103" s="47"/>
      <c r="I103" s="47"/>
      <c r="J103" s="47"/>
      <c r="K103" s="47"/>
      <c r="L103" s="236"/>
      <c r="M103" s="236"/>
      <c r="N103" s="236"/>
      <c r="O103" s="236"/>
      <c r="P103" s="47">
        <f t="shared" si="3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1:16">
      <c r="A105" s="190"/>
      <c r="D105" s="239" t="b">
        <f>SUM(D94,D96,D98,D100,D102)=D93</f>
        <v>1</v>
      </c>
      <c r="E105" s="239" t="b">
        <f t="shared" ref="E105:P105" si="6">SUM(E94,E96,E98,E100,E102)=E93</f>
        <v>1</v>
      </c>
      <c r="F105" s="239" t="b">
        <f t="shared" si="6"/>
        <v>1</v>
      </c>
      <c r="G105" s="239" t="b">
        <f t="shared" si="6"/>
        <v>1</v>
      </c>
      <c r="H105" s="239" t="b">
        <f t="shared" si="6"/>
        <v>1</v>
      </c>
      <c r="I105" s="239" t="b">
        <f t="shared" si="6"/>
        <v>1</v>
      </c>
      <c r="J105" s="239" t="b">
        <f t="shared" si="6"/>
        <v>1</v>
      </c>
      <c r="K105" s="239" t="b">
        <f t="shared" si="6"/>
        <v>1</v>
      </c>
      <c r="L105" s="239" t="b">
        <f t="shared" si="6"/>
        <v>1</v>
      </c>
      <c r="M105" s="239" t="b">
        <f t="shared" si="6"/>
        <v>1</v>
      </c>
      <c r="N105" s="239" t="b">
        <f t="shared" si="6"/>
        <v>1</v>
      </c>
      <c r="O105" s="239" t="b">
        <f t="shared" si="6"/>
        <v>1</v>
      </c>
      <c r="P105" s="239" t="b">
        <f t="shared" si="6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7">(E95+E97+E99+E101+E103)=(E68+E69)</f>
        <v>1</v>
      </c>
      <c r="F106" s="240" t="b">
        <f t="shared" si="7"/>
        <v>1</v>
      </c>
      <c r="G106" s="240" t="b">
        <f t="shared" si="7"/>
        <v>1</v>
      </c>
      <c r="H106" s="240" t="b">
        <f t="shared" si="7"/>
        <v>1</v>
      </c>
      <c r="I106" s="240" t="b">
        <f t="shared" si="7"/>
        <v>1</v>
      </c>
      <c r="J106" s="240" t="b">
        <f t="shared" si="7"/>
        <v>1</v>
      </c>
      <c r="K106" s="240" t="b">
        <f t="shared" si="7"/>
        <v>1</v>
      </c>
      <c r="L106" s="240" t="b">
        <f t="shared" si="7"/>
        <v>1</v>
      </c>
      <c r="M106" s="240" t="b">
        <f t="shared" si="7"/>
        <v>1</v>
      </c>
      <c r="N106" s="240" t="b">
        <f t="shared" si="7"/>
        <v>1</v>
      </c>
      <c r="O106" s="240" t="b">
        <f t="shared" si="7"/>
        <v>1</v>
      </c>
      <c r="P106" s="240" t="b">
        <f t="shared" si="7"/>
        <v>1</v>
      </c>
    </row>
    <row r="107" spans="9:14">
      <c r="I107" s="68"/>
      <c r="N107" s="10">
        <f>N103+N101+N99+N97+N95-N68-N69</f>
        <v>0</v>
      </c>
    </row>
    <row r="108" spans="5:16">
      <c r="E108" s="157"/>
      <c r="F108" s="157">
        <f>F98-F58</f>
        <v>1697112.03</v>
      </c>
      <c r="G108" s="68">
        <f t="shared" ref="G108" si="8">G102+G100+G98+G96+G94-G93</f>
        <v>0</v>
      </c>
      <c r="P108" s="242">
        <v>26781378.54</v>
      </c>
    </row>
    <row r="109" spans="16:16">
      <c r="P109" s="242">
        <f>P108-P93</f>
        <v>17664691.78</v>
      </c>
    </row>
    <row r="110" s="6" customFormat="1" ht="12" spans="4:4">
      <c r="D110" s="241"/>
    </row>
  </sheetData>
  <autoFilter ref="B5:P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6:P106">
    <cfRule type="cellIs" dxfId="0" priority="1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78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7" width="12.75" style="10" customWidth="1"/>
    <col min="8" max="12" width="11.5" style="10" customWidth="1"/>
    <col min="13" max="15" width="12.75" style="10" customWidth="1"/>
    <col min="16" max="16" width="14.25" style="10" customWidth="1"/>
    <col min="17" max="17" width="7.3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5.5" spans="1:6">
      <c r="A1" s="69" t="s">
        <v>317</v>
      </c>
      <c r="B1" s="69"/>
      <c r="C1" s="69"/>
      <c r="D1" s="69"/>
      <c r="E1" s="6"/>
      <c r="F1" s="6"/>
    </row>
    <row r="2" s="2" customFormat="1" spans="1:6">
      <c r="A2" s="2" t="s">
        <v>64</v>
      </c>
      <c r="E2" s="7"/>
      <c r="F2" s="191"/>
    </row>
    <row r="3" s="3" customFormat="1" ht="13.5" spans="1:6">
      <c r="A3" s="123" t="str">
        <f>'G-高新'!A3</f>
        <v>编制期间：2020年4月</v>
      </c>
      <c r="E3" s="192"/>
      <c r="F3" s="193"/>
    </row>
    <row r="4" s="187" customFormat="1" ht="13.5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98" t="s">
        <v>69</v>
      </c>
      <c r="B6" s="19" t="s">
        <v>70</v>
      </c>
      <c r="C6" s="20" t="s">
        <v>70</v>
      </c>
      <c r="D6" s="256">
        <v>78478.76</v>
      </c>
      <c r="E6" s="21">
        <v>11870.01</v>
      </c>
      <c r="F6" s="21">
        <v>2471.11</v>
      </c>
      <c r="G6" s="21">
        <v>37577.89</v>
      </c>
      <c r="H6" s="21"/>
      <c r="I6" s="21"/>
      <c r="J6" s="21"/>
      <c r="K6" s="21"/>
      <c r="L6" s="21"/>
      <c r="M6" s="21"/>
      <c r="N6" s="21"/>
      <c r="O6" s="21"/>
      <c r="P6" s="47">
        <f>SUM(D6:O6)</f>
        <v>130397.77</v>
      </c>
      <c r="Q6" s="48">
        <f>P6+P7+P8+P19+P22+P23+P24+P25+P26</f>
        <v>343791.94</v>
      </c>
    </row>
    <row r="7" s="5" customFormat="1" spans="1:16">
      <c r="A7" s="199"/>
      <c r="B7" s="23"/>
      <c r="C7" s="20" t="s">
        <v>71</v>
      </c>
      <c r="D7" s="256">
        <v>149689.37</v>
      </c>
      <c r="E7" s="21">
        <v>15293</v>
      </c>
      <c r="F7" s="21">
        <v>14960</v>
      </c>
      <c r="G7" s="21">
        <v>14960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194902.37</v>
      </c>
    </row>
    <row r="8" s="5" customFormat="1" spans="1:16">
      <c r="A8" s="199"/>
      <c r="B8" s="19" t="s">
        <v>72</v>
      </c>
      <c r="C8" s="20" t="s">
        <v>72</v>
      </c>
      <c r="D8" s="256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199"/>
      <c r="B9" s="19" t="s">
        <v>73</v>
      </c>
      <c r="C9" s="20" t="s">
        <v>73</v>
      </c>
      <c r="D9" s="256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199"/>
      <c r="B10" s="19" t="s">
        <v>74</v>
      </c>
      <c r="C10" s="20" t="s">
        <v>75</v>
      </c>
      <c r="D10" s="256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199"/>
      <c r="B11" s="24"/>
      <c r="C11" s="25" t="s">
        <v>76</v>
      </c>
      <c r="D11" s="256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199"/>
      <c r="B12" s="24"/>
      <c r="C12" s="20" t="s">
        <v>77</v>
      </c>
      <c r="D12" s="256"/>
      <c r="E12" s="21"/>
      <c r="F12" s="21">
        <v>860</v>
      </c>
      <c r="G12" s="21">
        <v>430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1290</v>
      </c>
    </row>
    <row r="13" s="5" customFormat="1" spans="1:16">
      <c r="A13" s="199"/>
      <c r="B13" s="24"/>
      <c r="C13" s="25" t="s">
        <v>78</v>
      </c>
      <c r="D13" s="256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199"/>
      <c r="B14" s="24"/>
      <c r="C14" s="20" t="s">
        <v>79</v>
      </c>
      <c r="D14" s="256"/>
      <c r="E14" s="21"/>
      <c r="F14" s="21">
        <v>100</v>
      </c>
      <c r="G14" s="21">
        <v>100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200</v>
      </c>
    </row>
    <row r="15" s="5" customFormat="1" spans="1:16">
      <c r="A15" s="199"/>
      <c r="B15" s="24"/>
      <c r="C15" s="25" t="s">
        <v>80</v>
      </c>
      <c r="D15" s="256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199"/>
      <c r="B16" s="24"/>
      <c r="C16" s="25" t="s">
        <v>81</v>
      </c>
      <c r="D16" s="256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199"/>
      <c r="B17" s="24"/>
      <c r="C17" s="25" t="s">
        <v>82</v>
      </c>
      <c r="D17" s="256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199"/>
      <c r="B18" s="23"/>
      <c r="C18" s="25" t="s">
        <v>83</v>
      </c>
      <c r="D18" s="256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199"/>
      <c r="B19" s="26" t="s">
        <v>84</v>
      </c>
      <c r="C19" s="25" t="s">
        <v>84</v>
      </c>
      <c r="D19" s="256">
        <v>716</v>
      </c>
      <c r="E19" s="21">
        <v>716</v>
      </c>
      <c r="F19" s="21">
        <v>716</v>
      </c>
      <c r="G19" s="21">
        <v>716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2864</v>
      </c>
    </row>
    <row r="20" s="5" customFormat="1" spans="1:16">
      <c r="A20" s="199"/>
      <c r="B20" s="19" t="s">
        <v>85</v>
      </c>
      <c r="C20" s="20" t="s">
        <v>85</v>
      </c>
      <c r="D20" s="256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199"/>
      <c r="B21" s="19" t="s">
        <v>86</v>
      </c>
      <c r="C21" s="20" t="s">
        <v>86</v>
      </c>
      <c r="D21" s="25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199"/>
      <c r="B22" s="19" t="s">
        <v>87</v>
      </c>
      <c r="C22" s="25" t="s">
        <v>88</v>
      </c>
      <c r="D22" s="256">
        <v>5663.52</v>
      </c>
      <c r="E22" s="21">
        <v>5663.52</v>
      </c>
      <c r="F22" s="21">
        <v>-5663.52</v>
      </c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5663.52</v>
      </c>
    </row>
    <row r="23" s="5" customFormat="1" spans="1:16">
      <c r="A23" s="199"/>
      <c r="B23" s="24"/>
      <c r="C23" s="25" t="s">
        <v>89</v>
      </c>
      <c r="D23" s="256">
        <v>176.99</v>
      </c>
      <c r="E23" s="21">
        <v>176.99</v>
      </c>
      <c r="F23" s="21">
        <v>-176.99</v>
      </c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176.99</v>
      </c>
    </row>
    <row r="24" s="5" customFormat="1" spans="1:16">
      <c r="A24" s="199"/>
      <c r="B24" s="24"/>
      <c r="C24" s="25" t="s">
        <v>90</v>
      </c>
      <c r="D24" s="256">
        <v>230.08</v>
      </c>
      <c r="E24" s="21">
        <v>230.08</v>
      </c>
      <c r="F24" s="21">
        <v>-230.08</v>
      </c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230.08</v>
      </c>
    </row>
    <row r="25" s="5" customFormat="1" spans="1:16">
      <c r="A25" s="199"/>
      <c r="B25" s="24"/>
      <c r="C25" s="25" t="s">
        <v>91</v>
      </c>
      <c r="D25" s="256">
        <v>3539.7</v>
      </c>
      <c r="E25" s="21">
        <v>3539.7</v>
      </c>
      <c r="F25" s="21"/>
      <c r="G25" s="21">
        <v>1769.85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8849.25</v>
      </c>
    </row>
    <row r="26" s="5" customFormat="1" spans="1:16">
      <c r="A26" s="199"/>
      <c r="B26" s="23"/>
      <c r="C26" s="25" t="s">
        <v>92</v>
      </c>
      <c r="D26" s="256">
        <v>176.99</v>
      </c>
      <c r="E26" s="21">
        <v>176.99</v>
      </c>
      <c r="F26" s="21">
        <v>176.99</v>
      </c>
      <c r="G26" s="21">
        <v>176.99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707.96</v>
      </c>
    </row>
    <row r="27" s="5" customFormat="1" spans="1:16">
      <c r="A27" s="200"/>
      <c r="B27" s="19" t="s">
        <v>93</v>
      </c>
      <c r="C27" s="20" t="s">
        <v>93</v>
      </c>
      <c r="D27" s="256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01" t="s">
        <v>94</v>
      </c>
      <c r="B28" s="19" t="s">
        <v>95</v>
      </c>
      <c r="C28" s="25" t="s">
        <v>96</v>
      </c>
      <c r="D28" s="256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02"/>
      <c r="B29" s="23"/>
      <c r="C29" s="20" t="s">
        <v>97</v>
      </c>
      <c r="D29" s="25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02"/>
      <c r="B30" s="26" t="s">
        <v>98</v>
      </c>
      <c r="C30" s="25" t="s">
        <v>98</v>
      </c>
      <c r="D30" s="256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02"/>
      <c r="B31" s="19" t="s">
        <v>99</v>
      </c>
      <c r="C31" s="25" t="s">
        <v>100</v>
      </c>
      <c r="D31" s="25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02"/>
      <c r="B32" s="24"/>
      <c r="C32" s="25" t="s">
        <v>101</v>
      </c>
      <c r="D32" s="25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02"/>
      <c r="B33" s="23"/>
      <c r="C33" s="20" t="s">
        <v>102</v>
      </c>
      <c r="D33" s="256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02"/>
      <c r="B34" s="19" t="s">
        <v>103</v>
      </c>
      <c r="C34" s="25" t="s">
        <v>104</v>
      </c>
      <c r="D34" s="256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02"/>
      <c r="B35" s="23"/>
      <c r="C35" s="25" t="s">
        <v>105</v>
      </c>
      <c r="D35" s="25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02"/>
      <c r="B36" s="26" t="s">
        <v>106</v>
      </c>
      <c r="C36" s="25" t="s">
        <v>106</v>
      </c>
      <c r="D36" s="256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02"/>
      <c r="B37" s="26" t="s">
        <v>107</v>
      </c>
      <c r="C37" s="25" t="s">
        <v>107</v>
      </c>
      <c r="D37" s="256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02"/>
      <c r="B38" s="19" t="s">
        <v>108</v>
      </c>
      <c r="C38" s="25" t="s">
        <v>109</v>
      </c>
      <c r="D38" s="256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02"/>
      <c r="B39" s="23"/>
      <c r="C39" s="25" t="s">
        <v>110</v>
      </c>
      <c r="D39" s="256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03"/>
      <c r="B40" s="26" t="s">
        <v>111</v>
      </c>
      <c r="C40" s="25" t="s">
        <v>111</v>
      </c>
      <c r="D40" s="256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04" t="s">
        <v>112</v>
      </c>
      <c r="B41" s="30" t="s">
        <v>113</v>
      </c>
      <c r="C41" s="20" t="s">
        <v>113</v>
      </c>
      <c r="D41" s="256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205"/>
      <c r="B42" s="19" t="s">
        <v>114</v>
      </c>
      <c r="C42" s="206" t="s">
        <v>114</v>
      </c>
      <c r="D42" s="256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205"/>
      <c r="B43" s="19" t="s">
        <v>115</v>
      </c>
      <c r="C43" s="206" t="s">
        <v>115</v>
      </c>
      <c r="D43" s="256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205"/>
      <c r="B44" s="19" t="s">
        <v>116</v>
      </c>
      <c r="C44" s="206" t="s">
        <v>117</v>
      </c>
      <c r="D44" s="256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205"/>
      <c r="B45" s="23"/>
      <c r="C45" s="206" t="s">
        <v>118</v>
      </c>
      <c r="D45" s="256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205"/>
      <c r="B46" s="26" t="s">
        <v>119</v>
      </c>
      <c r="C46" s="207" t="s">
        <v>119</v>
      </c>
      <c r="D46" s="256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205"/>
      <c r="B47" s="26" t="s">
        <v>120</v>
      </c>
      <c r="C47" s="207" t="s">
        <v>120</v>
      </c>
      <c r="D47" s="256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spans="1:16">
      <c r="A48" s="208"/>
      <c r="B48" s="34" t="s">
        <v>121</v>
      </c>
      <c r="C48" s="209" t="s">
        <v>121</v>
      </c>
      <c r="D48" s="256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210" t="s">
        <v>122</v>
      </c>
      <c r="B49" s="37" t="s">
        <v>123</v>
      </c>
      <c r="C49" s="207" t="s">
        <v>124</v>
      </c>
      <c r="D49" s="256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211"/>
      <c r="B50" s="38"/>
      <c r="C50" s="207" t="s">
        <v>125</v>
      </c>
      <c r="D50" s="256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211"/>
      <c r="B51" s="39"/>
      <c r="C51" s="207" t="s">
        <v>83</v>
      </c>
      <c r="D51" s="256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211"/>
      <c r="B52" s="19" t="s">
        <v>126</v>
      </c>
      <c r="C52" s="207" t="s">
        <v>127</v>
      </c>
      <c r="D52" s="256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211"/>
      <c r="B53" s="24"/>
      <c r="C53" s="207" t="s">
        <v>128</v>
      </c>
      <c r="D53" s="256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211"/>
      <c r="B54" s="23"/>
      <c r="C54" s="207" t="s">
        <v>83</v>
      </c>
      <c r="D54" s="256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211"/>
      <c r="B55" s="40" t="s">
        <v>129</v>
      </c>
      <c r="C55" s="207" t="s">
        <v>129</v>
      </c>
      <c r="D55" s="256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212"/>
      <c r="B56" s="40" t="s">
        <v>130</v>
      </c>
      <c r="C56" s="207" t="s">
        <v>130</v>
      </c>
      <c r="D56" s="256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213" t="s">
        <v>131</v>
      </c>
      <c r="B57" s="26" t="s">
        <v>132</v>
      </c>
      <c r="C57" s="207" t="s">
        <v>132</v>
      </c>
      <c r="D57" s="256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214"/>
      <c r="B58" s="37" t="s">
        <v>133</v>
      </c>
      <c r="C58" s="207" t="s">
        <v>133</v>
      </c>
      <c r="D58" s="256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214"/>
      <c r="B59" s="37" t="s">
        <v>134</v>
      </c>
      <c r="C59" s="207" t="s">
        <v>135</v>
      </c>
      <c r="D59" s="256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214"/>
      <c r="B60" s="39"/>
      <c r="C60" s="207" t="s">
        <v>83</v>
      </c>
      <c r="D60" s="256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214"/>
      <c r="B61" s="40" t="s">
        <v>136</v>
      </c>
      <c r="C61" s="207" t="s">
        <v>136</v>
      </c>
      <c r="D61" s="256">
        <v>-3514.37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-3514.37</v>
      </c>
    </row>
    <row r="62" s="5" customFormat="1" spans="1:16">
      <c r="A62" s="215"/>
      <c r="B62" s="26" t="s">
        <v>137</v>
      </c>
      <c r="C62" s="207" t="s">
        <v>137</v>
      </c>
      <c r="D62" s="256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216" t="s">
        <v>138</v>
      </c>
      <c r="B63" s="43" t="s">
        <v>139</v>
      </c>
      <c r="C63" s="207" t="s">
        <v>139</v>
      </c>
      <c r="D63" s="256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217"/>
      <c r="B64" s="43" t="s">
        <v>140</v>
      </c>
      <c r="C64" s="207" t="s">
        <v>140</v>
      </c>
      <c r="D64" s="256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217"/>
      <c r="B65" s="43" t="s">
        <v>141</v>
      </c>
      <c r="C65" s="207" t="s">
        <v>141</v>
      </c>
      <c r="D65" s="256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217"/>
      <c r="B66" s="43" t="s">
        <v>142</v>
      </c>
      <c r="C66" s="207" t="s">
        <v>142</v>
      </c>
      <c r="D66" s="256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217"/>
      <c r="B67" s="43" t="s">
        <v>143</v>
      </c>
      <c r="C67" s="207" t="s">
        <v>143</v>
      </c>
      <c r="D67" s="256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217"/>
      <c r="B68" s="37" t="s">
        <v>144</v>
      </c>
      <c r="C68" s="207" t="s">
        <v>145</v>
      </c>
      <c r="D68" s="256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217"/>
      <c r="B69" s="39"/>
      <c r="C69" s="207" t="s">
        <v>146</v>
      </c>
      <c r="D69" s="257">
        <v>5504.59</v>
      </c>
      <c r="E69" s="21">
        <v>3669.72</v>
      </c>
      <c r="F69" s="21">
        <v>16067.84</v>
      </c>
      <c r="G69" s="21">
        <v>8715.6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33957.75</v>
      </c>
    </row>
    <row r="70" s="5" customFormat="1" spans="1:16">
      <c r="A70" s="217"/>
      <c r="B70" s="37" t="s">
        <v>147</v>
      </c>
      <c r="C70" s="206" t="s">
        <v>147</v>
      </c>
      <c r="D70" s="256">
        <v>-1237</v>
      </c>
      <c r="E70" s="21"/>
      <c r="F70" s="21">
        <v>4239</v>
      </c>
      <c r="G70" s="21">
        <v>3834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6836</v>
      </c>
    </row>
    <row r="71" s="5" customFormat="1" spans="1:16">
      <c r="A71" s="217"/>
      <c r="B71" s="40" t="s">
        <v>148</v>
      </c>
      <c r="C71" s="207" t="s">
        <v>148</v>
      </c>
      <c r="D71" s="256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102" si="1">SUM(D71:O71)</f>
        <v>0</v>
      </c>
    </row>
    <row r="72" s="5" customFormat="1" spans="1:16">
      <c r="A72" s="217"/>
      <c r="B72" s="40" t="s">
        <v>149</v>
      </c>
      <c r="C72" s="207" t="s">
        <v>149</v>
      </c>
      <c r="D72" s="256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217"/>
      <c r="B73" s="37" t="s">
        <v>150</v>
      </c>
      <c r="C73" s="207" t="s">
        <v>151</v>
      </c>
      <c r="D73" s="256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217"/>
      <c r="B74" s="39"/>
      <c r="C74" s="218" t="s">
        <v>152</v>
      </c>
      <c r="D74" s="256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219"/>
      <c r="B75" s="40" t="s">
        <v>153</v>
      </c>
      <c r="C75" s="207" t="s">
        <v>153</v>
      </c>
      <c r="D75" s="256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56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221"/>
      <c r="B77" s="19" t="s">
        <v>156</v>
      </c>
      <c r="C77" s="207" t="s">
        <v>157</v>
      </c>
      <c r="D77" s="256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221"/>
      <c r="B78" s="23"/>
      <c r="C78" s="218" t="s">
        <v>158</v>
      </c>
      <c r="D78" s="256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222"/>
      <c r="B79" s="26" t="s">
        <v>159</v>
      </c>
      <c r="C79" s="207" t="s">
        <v>159</v>
      </c>
      <c r="D79" s="256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223" t="s">
        <v>160</v>
      </c>
      <c r="B80" s="26" t="s">
        <v>161</v>
      </c>
      <c r="C80" s="207" t="s">
        <v>161</v>
      </c>
      <c r="D80" s="256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224"/>
      <c r="B81" s="26" t="s">
        <v>162</v>
      </c>
      <c r="C81" s="25" t="s">
        <v>162</v>
      </c>
      <c r="D81" s="256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224"/>
      <c r="B82" s="19" t="s">
        <v>163</v>
      </c>
      <c r="C82" s="25" t="s">
        <v>164</v>
      </c>
      <c r="D82" s="256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224"/>
      <c r="B83" s="24"/>
      <c r="C83" s="25" t="s">
        <v>165</v>
      </c>
      <c r="D83" s="256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224"/>
      <c r="B84" s="23"/>
      <c r="C84" s="25" t="s">
        <v>166</v>
      </c>
      <c r="D84" s="256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225"/>
      <c r="B85" s="26" t="s">
        <v>167</v>
      </c>
      <c r="C85" s="207" t="s">
        <v>167</v>
      </c>
      <c r="D85" s="256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226" t="s">
        <v>168</v>
      </c>
      <c r="B86" s="26" t="s">
        <v>169</v>
      </c>
      <c r="C86" s="207" t="s">
        <v>169</v>
      </c>
      <c r="D86" s="256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227"/>
      <c r="B87" s="26" t="s">
        <v>170</v>
      </c>
      <c r="C87" s="207" t="s">
        <v>170</v>
      </c>
      <c r="D87" s="256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227"/>
      <c r="B88" s="26" t="s">
        <v>171</v>
      </c>
      <c r="C88" s="207" t="s">
        <v>171</v>
      </c>
      <c r="D88" s="256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228"/>
      <c r="B89" s="26" t="s">
        <v>172</v>
      </c>
      <c r="C89" s="207" t="s">
        <v>172</v>
      </c>
      <c r="D89" s="256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229" t="s">
        <v>173</v>
      </c>
      <c r="B90" s="26" t="s">
        <v>174</v>
      </c>
      <c r="C90" s="207" t="s">
        <v>174</v>
      </c>
      <c r="D90" s="256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230"/>
      <c r="B91" s="26" t="s">
        <v>175</v>
      </c>
      <c r="C91" s="207" t="s">
        <v>175</v>
      </c>
      <c r="D91" s="256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231"/>
      <c r="B92" s="26" t="s">
        <v>83</v>
      </c>
      <c r="C92" s="207" t="s">
        <v>83</v>
      </c>
      <c r="D92" s="256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spans="1:16">
      <c r="A93" s="232" t="s">
        <v>12</v>
      </c>
      <c r="B93" s="233"/>
      <c r="C93" s="234"/>
      <c r="D93" s="58">
        <f>SUM(D6:D92)</f>
        <v>239424.63</v>
      </c>
      <c r="E93" s="58">
        <f t="shared" ref="E93:P93" si="2">SUM(E6:E92)</f>
        <v>41336.01</v>
      </c>
      <c r="F93" s="58">
        <f t="shared" si="2"/>
        <v>33520.35</v>
      </c>
      <c r="G93" s="58">
        <f t="shared" si="2"/>
        <v>68280.33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382561.32</v>
      </c>
    </row>
    <row r="94" s="7" customFormat="1" ht="13.5" spans="1:16">
      <c r="A94" s="252" t="s">
        <v>176</v>
      </c>
      <c r="B94" s="253"/>
      <c r="C94" s="254"/>
      <c r="D94" s="235">
        <v>5504.59</v>
      </c>
      <c r="E94" s="47">
        <v>3669.72</v>
      </c>
      <c r="F94" s="47">
        <v>2752.29</v>
      </c>
      <c r="G94" s="236">
        <v>8256.88</v>
      </c>
      <c r="H94" s="236"/>
      <c r="I94" s="236"/>
      <c r="J94" s="236"/>
      <c r="K94" s="236"/>
      <c r="L94" s="236"/>
      <c r="M94" s="236"/>
      <c r="N94" s="236"/>
      <c r="O94" s="236"/>
      <c r="P94" s="47">
        <f t="shared" si="1"/>
        <v>20183.48</v>
      </c>
    </row>
    <row r="95" s="7" customFormat="1" ht="13.5" spans="1:16">
      <c r="A95" s="252"/>
      <c r="B95" s="258" t="s">
        <v>308</v>
      </c>
      <c r="C95" s="254"/>
      <c r="D95" s="235">
        <v>5504.59</v>
      </c>
      <c r="E95" s="47">
        <v>3669.72</v>
      </c>
      <c r="F95" s="47">
        <v>2752.29</v>
      </c>
      <c r="G95" s="236">
        <v>8256.88</v>
      </c>
      <c r="H95" s="236"/>
      <c r="I95" s="236"/>
      <c r="J95" s="236"/>
      <c r="K95" s="236"/>
      <c r="L95" s="236"/>
      <c r="M95" s="236"/>
      <c r="N95" s="236"/>
      <c r="O95" s="236"/>
      <c r="P95" s="47">
        <f t="shared" si="1"/>
        <v>20183.48</v>
      </c>
    </row>
    <row r="96" s="7" customFormat="1" ht="13.5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1"/>
        <v>0</v>
      </c>
    </row>
    <row r="97" s="7" customFormat="1" ht="13.5" spans="1:16">
      <c r="A97" s="252"/>
      <c r="B97" s="258" t="s">
        <v>308</v>
      </c>
      <c r="C97" s="254"/>
      <c r="D97" s="235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1"/>
        <v>0</v>
      </c>
    </row>
    <row r="98" s="7" customFormat="1" ht="13.5" spans="1:16">
      <c r="A98" s="252" t="s">
        <v>178</v>
      </c>
      <c r="B98" s="253"/>
      <c r="C98" s="254"/>
      <c r="D98" s="47">
        <v>235582.51</v>
      </c>
      <c r="E98" s="47">
        <v>31712.72</v>
      </c>
      <c r="F98" s="47">
        <v>26855.05</v>
      </c>
      <c r="G98" s="236">
        <v>55106.16</v>
      </c>
      <c r="H98" s="236"/>
      <c r="I98" s="236"/>
      <c r="J98" s="236"/>
      <c r="K98" s="236"/>
      <c r="L98" s="236"/>
      <c r="M98" s="236"/>
      <c r="N98" s="236"/>
      <c r="O98" s="236"/>
      <c r="P98" s="47">
        <f t="shared" si="1"/>
        <v>349256.44</v>
      </c>
    </row>
    <row r="99" s="7" customFormat="1" ht="13.5" spans="1:16">
      <c r="A99" s="252"/>
      <c r="B99" s="258" t="s">
        <v>308</v>
      </c>
      <c r="C99" s="254"/>
      <c r="D99" s="47"/>
      <c r="E99" s="47"/>
      <c r="F99" s="47">
        <v>13315.55</v>
      </c>
      <c r="G99" s="236">
        <v>458.72</v>
      </c>
      <c r="H99" s="236"/>
      <c r="I99" s="236"/>
      <c r="J99" s="236"/>
      <c r="K99" s="236"/>
      <c r="L99" s="236"/>
      <c r="M99" s="236"/>
      <c r="N99" s="236"/>
      <c r="O99" s="236"/>
      <c r="P99" s="47">
        <f t="shared" si="1"/>
        <v>13774.27</v>
      </c>
    </row>
    <row r="100" s="7" customFormat="1" ht="13.5" spans="1:16">
      <c r="A100" s="252" t="s">
        <v>179</v>
      </c>
      <c r="B100" s="253"/>
      <c r="C100" s="254"/>
      <c r="D100" s="47"/>
      <c r="E100" s="47"/>
      <c r="F100" s="47"/>
      <c r="G100" s="236"/>
      <c r="H100" s="236"/>
      <c r="I100" s="236"/>
      <c r="J100" s="236"/>
      <c r="K100" s="236"/>
      <c r="L100" s="236"/>
      <c r="M100" s="236"/>
      <c r="N100" s="236"/>
      <c r="O100" s="236"/>
      <c r="P100" s="47">
        <f t="shared" si="1"/>
        <v>0</v>
      </c>
    </row>
    <row r="101" s="7" customFormat="1" ht="13.5" spans="1:16">
      <c r="A101" s="252"/>
      <c r="B101" s="258" t="s">
        <v>308</v>
      </c>
      <c r="C101" s="254"/>
      <c r="D101" s="47"/>
      <c r="E101" s="47"/>
      <c r="F101" s="47"/>
      <c r="G101" s="236"/>
      <c r="H101" s="236"/>
      <c r="I101" s="236"/>
      <c r="J101" s="236"/>
      <c r="K101" s="236"/>
      <c r="L101" s="236"/>
      <c r="M101" s="236"/>
      <c r="N101" s="236"/>
      <c r="O101" s="236"/>
      <c r="P101" s="47">
        <f t="shared" si="1"/>
        <v>0</v>
      </c>
    </row>
    <row r="102" s="7" customFormat="1" ht="13.5" spans="1:16">
      <c r="A102" s="252" t="s">
        <v>180</v>
      </c>
      <c r="B102" s="253"/>
      <c r="C102" s="254"/>
      <c r="D102" s="47">
        <v>-1662.47</v>
      </c>
      <c r="E102" s="47">
        <v>5953.57</v>
      </c>
      <c r="F102" s="47">
        <v>3913.01</v>
      </c>
      <c r="G102" s="47">
        <v>4917.29</v>
      </c>
      <c r="H102" s="47"/>
      <c r="I102" s="236"/>
      <c r="J102" s="236"/>
      <c r="K102" s="236"/>
      <c r="L102" s="236"/>
      <c r="M102" s="236"/>
      <c r="N102" s="236"/>
      <c r="O102" s="236"/>
      <c r="P102" s="47">
        <f t="shared" si="1"/>
        <v>13121.4</v>
      </c>
    </row>
    <row r="103" s="7" customFormat="1" ht="13.5" spans="1:16">
      <c r="A103" s="252"/>
      <c r="B103" s="253"/>
      <c r="C103" s="254"/>
      <c r="D103" s="47"/>
      <c r="E103" s="47"/>
      <c r="F103" s="47"/>
      <c r="G103" s="47"/>
      <c r="H103" s="47"/>
      <c r="I103" s="236"/>
      <c r="J103" s="236"/>
      <c r="K103" s="236"/>
      <c r="L103" s="236"/>
      <c r="M103" s="236"/>
      <c r="N103" s="236"/>
      <c r="O103" s="236"/>
      <c r="P103" s="47"/>
    </row>
    <row r="104" s="190" customFormat="1" ht="13.5" spans="1:16">
      <c r="A104" s="190" t="s">
        <v>181</v>
      </c>
      <c r="D104" s="239" t="b">
        <f>SUM(D94,D96,D98,D100,D102)=D93</f>
        <v>1</v>
      </c>
      <c r="E104" s="239" t="b">
        <f t="shared" ref="E104:P104" si="3">SUM(E94,E96,E98,E100,E102)=E93</f>
        <v>1</v>
      </c>
      <c r="F104" s="239" t="b">
        <f t="shared" si="3"/>
        <v>1</v>
      </c>
      <c r="G104" s="239" t="b">
        <f t="shared" si="3"/>
        <v>1</v>
      </c>
      <c r="H104" s="239" t="b">
        <f t="shared" si="3"/>
        <v>1</v>
      </c>
      <c r="I104" s="239" t="b">
        <f t="shared" si="3"/>
        <v>1</v>
      </c>
      <c r="J104" s="239" t="b">
        <f t="shared" si="3"/>
        <v>1</v>
      </c>
      <c r="K104" s="239" t="b">
        <f t="shared" si="3"/>
        <v>1</v>
      </c>
      <c r="L104" s="239" t="b">
        <f t="shared" si="3"/>
        <v>1</v>
      </c>
      <c r="M104" s="239" t="b">
        <f t="shared" si="3"/>
        <v>1</v>
      </c>
      <c r="N104" s="239" t="b">
        <f t="shared" si="3"/>
        <v>1</v>
      </c>
      <c r="O104" s="239" t="b">
        <f t="shared" si="3"/>
        <v>1</v>
      </c>
      <c r="P104" s="239" t="b">
        <f t="shared" si="3"/>
        <v>1</v>
      </c>
    </row>
    <row r="105" spans="4:17">
      <c r="D105" s="240" t="b">
        <f>(D95+D97+D99+D101)=(D68+D69)</f>
        <v>1</v>
      </c>
      <c r="E105" s="240" t="b">
        <f t="shared" ref="E105:P105" si="4">(E95+E97+E99+E101)=(E68+E69)</f>
        <v>1</v>
      </c>
      <c r="F105" s="240" t="b">
        <f t="shared" si="4"/>
        <v>1</v>
      </c>
      <c r="G105" s="240" t="b">
        <f t="shared" si="4"/>
        <v>1</v>
      </c>
      <c r="H105" s="240" t="b">
        <f t="shared" si="4"/>
        <v>1</v>
      </c>
      <c r="I105" s="240" t="b">
        <f t="shared" si="4"/>
        <v>1</v>
      </c>
      <c r="J105" s="240" t="b">
        <f t="shared" si="4"/>
        <v>1</v>
      </c>
      <c r="K105" s="240" t="b">
        <f t="shared" si="4"/>
        <v>1</v>
      </c>
      <c r="L105" s="240" t="b">
        <f t="shared" si="4"/>
        <v>1</v>
      </c>
      <c r="M105" s="240" t="b">
        <f t="shared" si="4"/>
        <v>1</v>
      </c>
      <c r="N105" s="240" t="b">
        <f t="shared" si="4"/>
        <v>1</v>
      </c>
      <c r="O105" s="240" t="b">
        <f t="shared" si="4"/>
        <v>1</v>
      </c>
      <c r="P105" s="240" t="b">
        <f t="shared" si="4"/>
        <v>1</v>
      </c>
      <c r="Q105" s="240"/>
    </row>
    <row r="106" s="6" customFormat="1" ht="12" spans="4:4">
      <c r="D106" s="259"/>
    </row>
    <row r="107" spans="7:7">
      <c r="G107" s="68"/>
    </row>
    <row r="110" s="6" customFormat="1" ht="12" spans="4:4">
      <c r="D110" s="241"/>
    </row>
  </sheetData>
  <mergeCells count="38">
    <mergeCell ref="A1:D1"/>
    <mergeCell ref="D4:O4"/>
    <mergeCell ref="A93:C93"/>
    <mergeCell ref="A94:C94"/>
    <mergeCell ref="A96:C96"/>
    <mergeCell ref="A98:C98"/>
    <mergeCell ref="A100:C100"/>
    <mergeCell ref="A102:C102"/>
    <mergeCell ref="A103:C103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5:Q105">
    <cfRule type="cellIs" dxfId="0" priority="1" stopIfTrue="1" operator="equal">
      <formula>"no"</formula>
    </cfRule>
  </conditionalFormatting>
  <conditionalFormatting sqref="A106:IK106">
    <cfRule type="cellIs" dxfId="0" priority="6" stopIfTrue="1" operator="equal">
      <formula>"no"</formula>
    </cfRule>
  </conditionalFormatting>
  <conditionalFormatting sqref="A41:L41 O41:XFD41">
    <cfRule type="cellIs" dxfId="0" priority="9" stopIfTrue="1" operator="equal">
      <formula>"no"</formula>
    </cfRule>
    <cfRule type="cellIs" dxfId="0" priority="10" stopIfTrue="1" operator="equal">
      <formula>"no"</formula>
    </cfRule>
  </conditionalFormatting>
  <conditionalFormatting sqref="O41:XFD41 A41:D41 H41:L41">
    <cfRule type="cellIs" dxfId="0" priority="8" stopIfTrue="1" operator="equal">
      <formula>"no"</formula>
    </cfRule>
  </conditionalFormatting>
  <conditionalFormatting sqref="A41:C41 E41:IF41">
    <cfRule type="cellIs" dxfId="0" priority="7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5" activePane="bottomRight" state="frozen"/>
      <selection/>
      <selection pane="topRight"/>
      <selection pane="bottomLeft"/>
      <selection pane="bottomRight" activeCell="A1" sqref="A1:D1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318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46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46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46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46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/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/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/>
      <c r="H44" s="21"/>
      <c r="I44" s="46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/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/>
      <c r="H46" s="21"/>
      <c r="I46" s="46"/>
      <c r="J46" s="21"/>
      <c r="K46" s="46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/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/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/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/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/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/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/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/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/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/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/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/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/>
      <c r="H59" s="21"/>
      <c r="I59" s="46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/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/>
      <c r="H61" s="21"/>
      <c r="I61" s="46"/>
      <c r="J61" s="21"/>
      <c r="K61" s="46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/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/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/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/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/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/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/>
      <c r="H68" s="21"/>
      <c r="I68" s="46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7">
      <c r="A69" s="217"/>
      <c r="B69" s="39"/>
      <c r="C69" s="207" t="s">
        <v>146</v>
      </c>
      <c r="D69" s="21"/>
      <c r="E69" s="21"/>
      <c r="F69" s="21"/>
      <c r="G69" s="21"/>
      <c r="H69" s="21"/>
      <c r="I69" s="46"/>
      <c r="J69" s="21"/>
      <c r="K69" s="46"/>
      <c r="L69" s="21"/>
      <c r="M69" s="21"/>
      <c r="N69" s="21"/>
      <c r="O69" s="21"/>
      <c r="P69" s="47">
        <f t="shared" si="0"/>
        <v>0</v>
      </c>
      <c r="Q69" s="48"/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/>
      <c r="F70" s="21"/>
      <c r="G70" s="21"/>
      <c r="H70" s="21"/>
      <c r="I70" s="46"/>
      <c r="J70" s="21"/>
      <c r="K70" s="46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/>
      <c r="H71" s="21"/>
      <c r="I71" s="46"/>
      <c r="J71" s="21"/>
      <c r="K71" s="46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/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/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/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/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/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/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/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/>
      <c r="H79" s="21"/>
      <c r="I79" s="46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/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/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/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/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/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/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/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/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/>
      <c r="H92" s="21"/>
      <c r="I92" s="46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 t="shared" ref="D93:P93" si="2">SUM(D6:D92)</f>
        <v>0</v>
      </c>
      <c r="E93" s="58">
        <f t="shared" si="2"/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46"/>
      <c r="J94" s="236"/>
      <c r="K94" s="46"/>
      <c r="L94" s="236"/>
      <c r="M94" s="236"/>
      <c r="N94" s="236"/>
      <c r="O94" s="236"/>
      <c r="P94" s="236"/>
    </row>
    <row r="95" s="7" customFormat="1" ht="15" customHeight="1" spans="1:16">
      <c r="A95" s="252"/>
      <c r="B95" s="253"/>
      <c r="C95" s="254"/>
      <c r="D95" s="235"/>
      <c r="E95" s="47"/>
      <c r="F95" s="47"/>
      <c r="G95" s="236"/>
      <c r="H95" s="236"/>
      <c r="I95" s="46"/>
      <c r="J95" s="236"/>
      <c r="K95" s="46"/>
      <c r="L95" s="236"/>
      <c r="M95" s="236"/>
      <c r="N95" s="236"/>
      <c r="O95" s="236"/>
      <c r="P95" s="236"/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46"/>
      <c r="J96" s="236"/>
      <c r="K96" s="46"/>
      <c r="L96" s="236"/>
      <c r="M96" s="236"/>
      <c r="N96" s="236"/>
      <c r="O96" s="236"/>
      <c r="P96" s="236"/>
    </row>
    <row r="97" s="7" customFormat="1" ht="15" customHeight="1" spans="1:16">
      <c r="A97" s="252"/>
      <c r="B97" s="253"/>
      <c r="C97" s="254"/>
      <c r="D97" s="235"/>
      <c r="E97" s="47"/>
      <c r="F97" s="47"/>
      <c r="G97" s="236"/>
      <c r="H97" s="236"/>
      <c r="I97" s="46"/>
      <c r="J97" s="236"/>
      <c r="K97" s="255"/>
      <c r="L97" s="236"/>
      <c r="M97" s="236"/>
      <c r="N97" s="236"/>
      <c r="O97" s="236"/>
      <c r="P97" s="236"/>
    </row>
    <row r="98" s="7" customFormat="1" ht="15" customHeight="1" spans="1:16">
      <c r="A98" s="252" t="s">
        <v>178</v>
      </c>
      <c r="B98" s="253"/>
      <c r="C98" s="254"/>
      <c r="D98" s="47">
        <f>D93</f>
        <v>0</v>
      </c>
      <c r="E98" s="47">
        <f t="shared" ref="E98:O98" si="4">E93</f>
        <v>0</v>
      </c>
      <c r="F98" s="47">
        <f t="shared" si="4"/>
        <v>0</v>
      </c>
      <c r="G98" s="47">
        <f t="shared" si="4"/>
        <v>0</v>
      </c>
      <c r="H98" s="47">
        <f t="shared" si="4"/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236"/>
    </row>
    <row r="99" s="7" customFormat="1" ht="15" customHeight="1" spans="1:16">
      <c r="A99" s="252"/>
      <c r="B99" s="253"/>
      <c r="C99" s="254"/>
      <c r="D99" s="47">
        <f>D69+D68</f>
        <v>0</v>
      </c>
      <c r="E99" s="47">
        <f t="shared" ref="E99:O99" si="5">E69+E68</f>
        <v>0</v>
      </c>
      <c r="F99" s="47">
        <f t="shared" si="5"/>
        <v>0</v>
      </c>
      <c r="G99" s="47">
        <f t="shared" si="5"/>
        <v>0</v>
      </c>
      <c r="H99" s="47">
        <f t="shared" si="5"/>
        <v>0</v>
      </c>
      <c r="I99" s="47">
        <f t="shared" si="5"/>
        <v>0</v>
      </c>
      <c r="J99" s="47">
        <f t="shared" si="5"/>
        <v>0</v>
      </c>
      <c r="K99" s="47">
        <f t="shared" si="5"/>
        <v>0</v>
      </c>
      <c r="L99" s="47">
        <f t="shared" si="5"/>
        <v>0</v>
      </c>
      <c r="M99" s="47">
        <f t="shared" si="5"/>
        <v>0</v>
      </c>
      <c r="N99" s="47">
        <f t="shared" si="5"/>
        <v>0</v>
      </c>
      <c r="O99" s="47">
        <f t="shared" si="5"/>
        <v>0</v>
      </c>
      <c r="P99" s="236"/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>
        <f t="shared" ref="P100:P103" si="6">SUM(D100:O100)</f>
        <v>0</v>
      </c>
    </row>
    <row r="101" s="7" customFormat="1" ht="15" customHeight="1" spans="1:16">
      <c r="A101" s="252"/>
      <c r="B101" s="253"/>
      <c r="C101" s="254"/>
      <c r="D101" s="47"/>
      <c r="E101" s="47"/>
      <c r="F101" s="47"/>
      <c r="G101" s="47"/>
      <c r="H101" s="47"/>
      <c r="I101" s="47"/>
      <c r="J101" s="47"/>
      <c r="K101" s="255"/>
      <c r="L101" s="47"/>
      <c r="M101" s="47"/>
      <c r="N101" s="47"/>
      <c r="O101" s="47"/>
      <c r="P101" s="47">
        <f t="shared" si="6"/>
        <v>0</v>
      </c>
    </row>
    <row r="102" s="7" customFormat="1" ht="15" customHeight="1" spans="1:16">
      <c r="A102" s="252" t="s">
        <v>180</v>
      </c>
      <c r="B102" s="253"/>
      <c r="C102" s="254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>
        <f t="shared" si="6"/>
        <v>0</v>
      </c>
    </row>
    <row r="103" s="7" customFormat="1" ht="15" customHeight="1" spans="1:16">
      <c r="A103" s="252"/>
      <c r="B103" s="253"/>
      <c r="C103" s="254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>
        <f t="shared" si="6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7">SUM(E94,E96,E98,E100,E102)=E93</f>
        <v>1</v>
      </c>
      <c r="F105" s="239" t="b">
        <f t="shared" si="7"/>
        <v>1</v>
      </c>
      <c r="G105" s="239" t="b">
        <f t="shared" si="7"/>
        <v>1</v>
      </c>
      <c r="H105" s="239" t="b">
        <f t="shared" si="7"/>
        <v>1</v>
      </c>
      <c r="I105" s="239" t="b">
        <f t="shared" si="7"/>
        <v>1</v>
      </c>
      <c r="J105" s="239" t="b">
        <f t="shared" si="7"/>
        <v>1</v>
      </c>
      <c r="K105" s="239" t="b">
        <f t="shared" si="7"/>
        <v>1</v>
      </c>
      <c r="L105" s="239" t="b">
        <f t="shared" si="7"/>
        <v>1</v>
      </c>
      <c r="M105" s="239" t="b">
        <f t="shared" si="7"/>
        <v>1</v>
      </c>
      <c r="N105" s="239" t="b">
        <f t="shared" si="7"/>
        <v>1</v>
      </c>
      <c r="O105" s="239" t="b">
        <f t="shared" si="7"/>
        <v>1</v>
      </c>
      <c r="P105" s="239" t="b">
        <f t="shared" si="7"/>
        <v>1</v>
      </c>
    </row>
    <row r="106" s="6" customFormat="1" ht="13.5" spans="4:16">
      <c r="D106" s="240" t="b">
        <f>(D95+D97+D99+D101+D103)=(D68-D69)</f>
        <v>1</v>
      </c>
      <c r="E106" s="240" t="b">
        <f t="shared" ref="E106:P106" si="8">(E95+E97+E99+E101+E103)=(E68-E69)</f>
        <v>1</v>
      </c>
      <c r="F106" s="240" t="b">
        <f t="shared" si="8"/>
        <v>1</v>
      </c>
      <c r="G106" s="240" t="b">
        <f t="shared" si="8"/>
        <v>1</v>
      </c>
      <c r="H106" s="240" t="b">
        <f t="shared" si="8"/>
        <v>1</v>
      </c>
      <c r="I106" s="240" t="b">
        <f t="shared" si="8"/>
        <v>1</v>
      </c>
      <c r="J106" s="240" t="b">
        <f t="shared" si="8"/>
        <v>1</v>
      </c>
      <c r="K106" s="240" t="b">
        <f t="shared" si="8"/>
        <v>1</v>
      </c>
      <c r="L106" s="240" t="b">
        <f t="shared" si="8"/>
        <v>1</v>
      </c>
      <c r="M106" s="240" t="b">
        <f t="shared" si="8"/>
        <v>1</v>
      </c>
      <c r="N106" s="240" t="b">
        <f t="shared" si="8"/>
        <v>1</v>
      </c>
      <c r="O106" s="240" t="b">
        <f t="shared" si="8"/>
        <v>1</v>
      </c>
      <c r="P106" s="240" t="b">
        <f t="shared" si="8"/>
        <v>1</v>
      </c>
    </row>
    <row r="107" spans="14:16">
      <c r="N107" s="10">
        <f>N103+N101+N99+N97+N95-N68-N69</f>
        <v>0</v>
      </c>
      <c r="P107" s="68">
        <f>P106-P93</f>
        <v>1</v>
      </c>
    </row>
    <row r="108" spans="7:7">
      <c r="G108" s="68">
        <f t="shared" ref="G108" si="9">G102+G100+G98+G96+G94-G93</f>
        <v>0</v>
      </c>
    </row>
    <row r="110" s="6" customFormat="1" ht="12" spans="4:4">
      <c r="D110" s="241"/>
    </row>
  </sheetData>
  <autoFilter ref="B5:P94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J41"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6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2" stopIfTrue="1" operator="equal">
      <formula>"no"</formula>
    </cfRule>
    <cfRule type="cellIs" dxfId="0" priority="34" stopIfTrue="1" operator="equal">
      <formula>"no"</formula>
    </cfRule>
    <cfRule type="cellIs" dxfId="0" priority="36" stopIfTrue="1" operator="equal">
      <formula>"no"</formula>
    </cfRule>
    <cfRule type="cellIs" dxfId="0" priority="39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O41:IV41 A41:H41 J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H41 J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 J41:L41">
    <cfRule type="cellIs" dxfId="0" priority="6" stopIfTrue="1" operator="equal">
      <formula>"no"</formula>
    </cfRule>
  </conditionalFormatting>
  <conditionalFormatting sqref="A41:C41 E41:H41 J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2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319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 t="s">
        <v>320</v>
      </c>
      <c r="F6" s="21">
        <v>0</v>
      </c>
      <c r="G6" s="21">
        <v>0</v>
      </c>
      <c r="H6" s="21"/>
      <c r="I6" s="46"/>
      <c r="J6" s="21"/>
      <c r="K6" s="46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 t="s">
        <v>320</v>
      </c>
      <c r="F7" s="21">
        <v>0</v>
      </c>
      <c r="G7" s="21">
        <v>0</v>
      </c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 t="s">
        <v>320</v>
      </c>
      <c r="F8" s="21">
        <v>0</v>
      </c>
      <c r="G8" s="21">
        <v>0</v>
      </c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 t="s">
        <v>320</v>
      </c>
      <c r="F9" s="21">
        <v>0</v>
      </c>
      <c r="G9" s="21">
        <v>0</v>
      </c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>
        <v>-20</v>
      </c>
      <c r="F10" s="21">
        <v>-200</v>
      </c>
      <c r="G10" s="21">
        <v>-300</v>
      </c>
      <c r="H10" s="21"/>
      <c r="I10" s="46"/>
      <c r="J10" s="21"/>
      <c r="K10" s="46"/>
      <c r="L10" s="21"/>
      <c r="M10" s="21"/>
      <c r="N10" s="21"/>
      <c r="O10" s="21"/>
      <c r="P10" s="47">
        <f t="shared" si="0"/>
        <v>-520</v>
      </c>
    </row>
    <row r="11" s="5" customFormat="1" ht="17.25" customHeight="1" spans="1:16">
      <c r="A11" s="199"/>
      <c r="B11" s="24"/>
      <c r="C11" s="25" t="s">
        <v>76</v>
      </c>
      <c r="D11" s="21"/>
      <c r="E11" s="21" t="s">
        <v>320</v>
      </c>
      <c r="F11" s="21">
        <v>0</v>
      </c>
      <c r="G11" s="21">
        <v>0</v>
      </c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 t="s">
        <v>320</v>
      </c>
      <c r="F12" s="21">
        <v>0</v>
      </c>
      <c r="G12" s="21">
        <v>0</v>
      </c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 t="s">
        <v>320</v>
      </c>
      <c r="F13" s="21">
        <v>0</v>
      </c>
      <c r="G13" s="21">
        <v>0</v>
      </c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 t="s">
        <v>320</v>
      </c>
      <c r="F14" s="21">
        <v>0</v>
      </c>
      <c r="G14" s="21">
        <v>0</v>
      </c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 t="s">
        <v>320</v>
      </c>
      <c r="F15" s="21">
        <v>0</v>
      </c>
      <c r="G15" s="21">
        <v>0</v>
      </c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 t="s">
        <v>320</v>
      </c>
      <c r="F16" s="21">
        <v>0</v>
      </c>
      <c r="G16" s="21">
        <v>0</v>
      </c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 t="s">
        <v>320</v>
      </c>
      <c r="F17" s="21">
        <v>0</v>
      </c>
      <c r="G17" s="21">
        <v>0</v>
      </c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 t="s">
        <v>320</v>
      </c>
      <c r="F18" s="21">
        <v>0</v>
      </c>
      <c r="G18" s="21">
        <v>0</v>
      </c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 t="s">
        <v>320</v>
      </c>
      <c r="F19" s="21">
        <v>0</v>
      </c>
      <c r="G19" s="21">
        <v>0</v>
      </c>
      <c r="H19" s="21"/>
      <c r="I19" s="46"/>
      <c r="J19" s="21"/>
      <c r="K19" s="46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 t="s">
        <v>320</v>
      </c>
      <c r="F20" s="21">
        <v>0</v>
      </c>
      <c r="G20" s="21">
        <v>0</v>
      </c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 t="s">
        <v>320</v>
      </c>
      <c r="F21" s="21">
        <v>0</v>
      </c>
      <c r="G21" s="21">
        <v>0</v>
      </c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 t="s">
        <v>320</v>
      </c>
      <c r="F22" s="21">
        <v>0</v>
      </c>
      <c r="G22" s="21">
        <v>0</v>
      </c>
      <c r="H22" s="21"/>
      <c r="I22" s="46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 t="s">
        <v>320</v>
      </c>
      <c r="F23" s="21">
        <v>0</v>
      </c>
      <c r="G23" s="21">
        <v>0</v>
      </c>
      <c r="H23" s="21"/>
      <c r="I23" s="46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 t="s">
        <v>320</v>
      </c>
      <c r="F24" s="21">
        <v>0</v>
      </c>
      <c r="G24" s="21">
        <v>0</v>
      </c>
      <c r="H24" s="21"/>
      <c r="I24" s="46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 t="s">
        <v>320</v>
      </c>
      <c r="F25" s="21">
        <v>0</v>
      </c>
      <c r="G25" s="21">
        <v>0</v>
      </c>
      <c r="H25" s="21"/>
      <c r="I25" s="46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 t="s">
        <v>320</v>
      </c>
      <c r="F26" s="21">
        <v>0</v>
      </c>
      <c r="G26" s="21">
        <v>0</v>
      </c>
      <c r="H26" s="21"/>
      <c r="I26" s="46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 t="s">
        <v>320</v>
      </c>
      <c r="F27" s="21">
        <v>0</v>
      </c>
      <c r="G27" s="21">
        <v>0</v>
      </c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 t="s">
        <v>320</v>
      </c>
      <c r="F28" s="21">
        <v>0</v>
      </c>
      <c r="G28" s="21">
        <v>0</v>
      </c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 t="s">
        <v>320</v>
      </c>
      <c r="F29" s="21">
        <v>0</v>
      </c>
      <c r="G29" s="21">
        <v>0</v>
      </c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49.06</v>
      </c>
      <c r="E30" s="21" t="s">
        <v>320</v>
      </c>
      <c r="F30" s="21">
        <v>0</v>
      </c>
      <c r="G30" s="21">
        <v>0</v>
      </c>
      <c r="H30" s="21"/>
      <c r="I30" s="46"/>
      <c r="J30" s="21"/>
      <c r="K30" s="46"/>
      <c r="L30" s="21"/>
      <c r="M30" s="21"/>
      <c r="N30" s="21"/>
      <c r="O30" s="21"/>
      <c r="P30" s="47">
        <f t="shared" si="0"/>
        <v>49.06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 t="s">
        <v>320</v>
      </c>
      <c r="F31" s="21">
        <v>0</v>
      </c>
      <c r="G31" s="21">
        <v>0</v>
      </c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 t="s">
        <v>320</v>
      </c>
      <c r="F32" s="21">
        <v>0</v>
      </c>
      <c r="G32" s="21">
        <v>0</v>
      </c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>
        <v>418</v>
      </c>
      <c r="F33" s="21">
        <v>0</v>
      </c>
      <c r="G33" s="21">
        <v>209</v>
      </c>
      <c r="H33" s="21"/>
      <c r="I33" s="46"/>
      <c r="J33" s="21"/>
      <c r="K33" s="46"/>
      <c r="L33" s="21"/>
      <c r="M33" s="21"/>
      <c r="N33" s="21"/>
      <c r="O33" s="21"/>
      <c r="P33" s="47">
        <f t="shared" si="0"/>
        <v>627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 t="s">
        <v>320</v>
      </c>
      <c r="F34" s="21">
        <v>0</v>
      </c>
      <c r="G34" s="21">
        <v>5593.19</v>
      </c>
      <c r="H34" s="21"/>
      <c r="I34" s="46"/>
      <c r="J34" s="21"/>
      <c r="K34" s="46"/>
      <c r="L34" s="21"/>
      <c r="M34" s="21"/>
      <c r="N34" s="21"/>
      <c r="O34" s="21"/>
      <c r="P34" s="47">
        <f t="shared" si="0"/>
        <v>5593.19</v>
      </c>
    </row>
    <row r="35" s="5" customFormat="1" ht="17.25" customHeight="1" spans="1:16">
      <c r="A35" s="202"/>
      <c r="B35" s="23"/>
      <c r="C35" s="25" t="s">
        <v>105</v>
      </c>
      <c r="D35" s="21"/>
      <c r="E35" s="21" t="s">
        <v>320</v>
      </c>
      <c r="F35" s="21">
        <v>0</v>
      </c>
      <c r="G35" s="21">
        <v>0</v>
      </c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 t="s">
        <v>320</v>
      </c>
      <c r="F36" s="21">
        <v>0</v>
      </c>
      <c r="G36" s="21">
        <v>0</v>
      </c>
      <c r="H36" s="21"/>
      <c r="I36" s="46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2970</v>
      </c>
      <c r="E37" s="21">
        <v>467</v>
      </c>
      <c r="F37" s="21">
        <v>0</v>
      </c>
      <c r="G37" s="21">
        <v>3484</v>
      </c>
      <c r="H37" s="21"/>
      <c r="I37" s="46"/>
      <c r="J37" s="21"/>
      <c r="K37" s="46"/>
      <c r="L37" s="21"/>
      <c r="M37" s="21"/>
      <c r="N37" s="21"/>
      <c r="O37" s="21"/>
      <c r="P37" s="47">
        <f t="shared" si="0"/>
        <v>6921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 t="s">
        <v>320</v>
      </c>
      <c r="F38" s="21">
        <v>0</v>
      </c>
      <c r="G38" s="21">
        <v>0</v>
      </c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 t="s">
        <v>320</v>
      </c>
      <c r="F39" s="21">
        <v>0</v>
      </c>
      <c r="G39" s="21">
        <v>0</v>
      </c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 t="s">
        <v>320</v>
      </c>
      <c r="F40" s="21">
        <v>0</v>
      </c>
      <c r="G40" s="21">
        <v>0</v>
      </c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 t="s">
        <v>320</v>
      </c>
      <c r="F41" s="21">
        <v>0</v>
      </c>
      <c r="G41" s="21">
        <v>0</v>
      </c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 t="s">
        <v>320</v>
      </c>
      <c r="F42" s="21">
        <v>0</v>
      </c>
      <c r="G42" s="21">
        <v>0</v>
      </c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 t="s">
        <v>320</v>
      </c>
      <c r="F43" s="21">
        <v>0</v>
      </c>
      <c r="G43" s="21">
        <v>0</v>
      </c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 t="s">
        <v>320</v>
      </c>
      <c r="F44" s="21">
        <v>0</v>
      </c>
      <c r="G44" s="21">
        <v>0</v>
      </c>
      <c r="H44" s="21"/>
      <c r="I44" s="46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 t="s">
        <v>320</v>
      </c>
      <c r="F45" s="21">
        <v>0</v>
      </c>
      <c r="G45" s="21">
        <v>0</v>
      </c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95.3</v>
      </c>
      <c r="E46" s="21">
        <v>95.32</v>
      </c>
      <c r="F46" s="21">
        <v>95.3</v>
      </c>
      <c r="G46" s="21">
        <v>95.32</v>
      </c>
      <c r="H46" s="21"/>
      <c r="I46" s="46"/>
      <c r="J46" s="21"/>
      <c r="K46" s="46"/>
      <c r="L46" s="21"/>
      <c r="M46" s="21"/>
      <c r="N46" s="21"/>
      <c r="O46" s="21"/>
      <c r="P46" s="47">
        <f t="shared" si="0"/>
        <v>381.24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 t="s">
        <v>320</v>
      </c>
      <c r="F47" s="21">
        <v>0</v>
      </c>
      <c r="G47" s="21">
        <v>0</v>
      </c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 t="s">
        <v>320</v>
      </c>
      <c r="F48" s="21">
        <v>0</v>
      </c>
      <c r="G48" s="21">
        <v>0</v>
      </c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 t="s">
        <v>320</v>
      </c>
      <c r="F49" s="21">
        <v>0</v>
      </c>
      <c r="G49" s="21">
        <v>0</v>
      </c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 t="s">
        <v>320</v>
      </c>
      <c r="F50" s="21">
        <v>0</v>
      </c>
      <c r="G50" s="21">
        <v>0</v>
      </c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 t="s">
        <v>320</v>
      </c>
      <c r="F51" s="21">
        <v>0</v>
      </c>
      <c r="G51" s="21">
        <v>0</v>
      </c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 t="s">
        <v>320</v>
      </c>
      <c r="F52" s="21">
        <v>0</v>
      </c>
      <c r="G52" s="21">
        <v>0</v>
      </c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 t="s">
        <v>320</v>
      </c>
      <c r="F53" s="21">
        <v>0</v>
      </c>
      <c r="G53" s="21">
        <v>0</v>
      </c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 t="s">
        <v>320</v>
      </c>
      <c r="F54" s="21">
        <v>0</v>
      </c>
      <c r="G54" s="21">
        <v>0</v>
      </c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 t="s">
        <v>320</v>
      </c>
      <c r="F55" s="21">
        <v>0</v>
      </c>
      <c r="G55" s="21">
        <v>0</v>
      </c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 t="s">
        <v>320</v>
      </c>
      <c r="F56" s="21">
        <v>0</v>
      </c>
      <c r="G56" s="21">
        <v>0</v>
      </c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 t="s">
        <v>320</v>
      </c>
      <c r="F57" s="21">
        <v>0</v>
      </c>
      <c r="G57" s="21">
        <v>0</v>
      </c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 t="s">
        <v>320</v>
      </c>
      <c r="F58" s="21">
        <v>0</v>
      </c>
      <c r="G58" s="21">
        <v>0</v>
      </c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 t="s">
        <v>320</v>
      </c>
      <c r="F59" s="21">
        <v>0</v>
      </c>
      <c r="G59" s="21">
        <v>0</v>
      </c>
      <c r="H59" s="21"/>
      <c r="I59" s="46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 t="s">
        <v>320</v>
      </c>
      <c r="F60" s="21">
        <v>0</v>
      </c>
      <c r="G60" s="21">
        <v>0</v>
      </c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>
        <v>12854.34</v>
      </c>
      <c r="E61" s="21">
        <v>396.52</v>
      </c>
      <c r="F61" s="21">
        <v>4438.89</v>
      </c>
      <c r="G61" s="21">
        <v>10647.26</v>
      </c>
      <c r="H61" s="21"/>
      <c r="I61" s="46"/>
      <c r="J61" s="21"/>
      <c r="K61" s="46"/>
      <c r="L61" s="21"/>
      <c r="M61" s="21"/>
      <c r="N61" s="21"/>
      <c r="O61" s="21"/>
      <c r="P61" s="47">
        <f t="shared" si="0"/>
        <v>28337.01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 t="s">
        <v>320</v>
      </c>
      <c r="F62" s="21">
        <v>0</v>
      </c>
      <c r="G62" s="21">
        <v>0</v>
      </c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 t="s">
        <v>320</v>
      </c>
      <c r="F63" s="21">
        <v>0</v>
      </c>
      <c r="G63" s="21">
        <v>0</v>
      </c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 t="s">
        <v>320</v>
      </c>
      <c r="F64" s="21">
        <v>0</v>
      </c>
      <c r="G64" s="21">
        <v>0</v>
      </c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 t="s">
        <v>320</v>
      </c>
      <c r="F65" s="21">
        <v>0</v>
      </c>
      <c r="G65" s="21">
        <v>0</v>
      </c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 t="s">
        <v>320</v>
      </c>
      <c r="F66" s="21">
        <v>0</v>
      </c>
      <c r="G66" s="21">
        <v>0</v>
      </c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 t="s">
        <v>320</v>
      </c>
      <c r="F67" s="21">
        <v>0</v>
      </c>
      <c r="G67" s="21">
        <v>0</v>
      </c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>
        <v>0</v>
      </c>
      <c r="G68" s="21">
        <v>0</v>
      </c>
      <c r="H68" s="21"/>
      <c r="I68" s="46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35431.35</v>
      </c>
      <c r="E69" s="21"/>
      <c r="F69" s="21">
        <v>1400</v>
      </c>
      <c r="G69" s="21">
        <v>56393.49</v>
      </c>
      <c r="H69" s="21"/>
      <c r="I69" s="46"/>
      <c r="J69" s="21"/>
      <c r="K69" s="46"/>
      <c r="L69" s="21"/>
      <c r="M69" s="21"/>
      <c r="N69" s="21"/>
      <c r="O69" s="21"/>
      <c r="P69" s="47">
        <f t="shared" si="0"/>
        <v>93224.84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>
        <v>150.94</v>
      </c>
      <c r="F70" s="21">
        <v>522.53</v>
      </c>
      <c r="G70" s="21">
        <v>321.7</v>
      </c>
      <c r="H70" s="21"/>
      <c r="I70" s="46"/>
      <c r="J70" s="21"/>
      <c r="K70" s="46"/>
      <c r="L70" s="21"/>
      <c r="M70" s="21"/>
      <c r="N70" s="21"/>
      <c r="O70" s="21"/>
      <c r="P70" s="47">
        <f t="shared" si="0"/>
        <v>995.17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 t="s">
        <v>320</v>
      </c>
      <c r="F71" s="21">
        <v>0</v>
      </c>
      <c r="G71" s="21">
        <v>0</v>
      </c>
      <c r="H71" s="21"/>
      <c r="I71" s="46"/>
      <c r="J71" s="21"/>
      <c r="K71" s="46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 t="s">
        <v>320</v>
      </c>
      <c r="F72" s="21">
        <v>0</v>
      </c>
      <c r="G72" s="21">
        <v>0</v>
      </c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 t="s">
        <v>320</v>
      </c>
      <c r="F73" s="21">
        <v>0</v>
      </c>
      <c r="G73" s="21">
        <v>0</v>
      </c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 t="s">
        <v>320</v>
      </c>
      <c r="F74" s="21">
        <v>0</v>
      </c>
      <c r="G74" s="21">
        <v>0</v>
      </c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 t="s">
        <v>320</v>
      </c>
      <c r="F75" s="21">
        <v>0</v>
      </c>
      <c r="G75" s="21">
        <v>0</v>
      </c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 t="s">
        <v>320</v>
      </c>
      <c r="F76" s="21">
        <v>0</v>
      </c>
      <c r="G76" s="21">
        <v>0</v>
      </c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 t="s">
        <v>320</v>
      </c>
      <c r="F77" s="21">
        <v>0</v>
      </c>
      <c r="G77" s="21">
        <v>0</v>
      </c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 t="s">
        <v>320</v>
      </c>
      <c r="F78" s="21">
        <v>0</v>
      </c>
      <c r="G78" s="21">
        <v>0</v>
      </c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>
        <v>-9838.5</v>
      </c>
      <c r="E79" s="21" t="s">
        <v>320</v>
      </c>
      <c r="F79" s="21">
        <v>0</v>
      </c>
      <c r="G79" s="21">
        <v>0</v>
      </c>
      <c r="H79" s="21"/>
      <c r="I79" s="46"/>
      <c r="J79" s="21"/>
      <c r="K79" s="46"/>
      <c r="L79" s="21"/>
      <c r="M79" s="21"/>
      <c r="N79" s="21"/>
      <c r="O79" s="21"/>
      <c r="P79" s="47">
        <f t="shared" si="1"/>
        <v>-9838.5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 t="s">
        <v>320</v>
      </c>
      <c r="F80" s="21">
        <v>0</v>
      </c>
      <c r="G80" s="21">
        <v>0</v>
      </c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 t="s">
        <v>320</v>
      </c>
      <c r="F81" s="21">
        <v>0</v>
      </c>
      <c r="G81" s="21">
        <v>0</v>
      </c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 t="s">
        <v>320</v>
      </c>
      <c r="F82" s="21">
        <v>0</v>
      </c>
      <c r="G82" s="21">
        <v>0</v>
      </c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 t="s">
        <v>320</v>
      </c>
      <c r="F83" s="21">
        <v>0</v>
      </c>
      <c r="G83" s="21">
        <v>0</v>
      </c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 t="s">
        <v>320</v>
      </c>
      <c r="F84" s="21">
        <v>0</v>
      </c>
      <c r="G84" s="21">
        <v>0</v>
      </c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 t="s">
        <v>320</v>
      </c>
      <c r="F85" s="21">
        <v>0</v>
      </c>
      <c r="G85" s="21">
        <v>0</v>
      </c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 t="s">
        <v>320</v>
      </c>
      <c r="F86" s="21">
        <v>0</v>
      </c>
      <c r="G86" s="21">
        <v>0</v>
      </c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 t="s">
        <v>320</v>
      </c>
      <c r="F87" s="21">
        <v>0</v>
      </c>
      <c r="G87" s="21">
        <v>0</v>
      </c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 t="s">
        <v>320</v>
      </c>
      <c r="F88" s="21">
        <v>0</v>
      </c>
      <c r="G88" s="21">
        <v>0</v>
      </c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 t="s">
        <v>320</v>
      </c>
      <c r="F89" s="21">
        <v>0</v>
      </c>
      <c r="G89" s="21">
        <v>0</v>
      </c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 t="s">
        <v>320</v>
      </c>
      <c r="F90" s="21">
        <v>0</v>
      </c>
      <c r="G90" s="21">
        <v>0</v>
      </c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 t="s">
        <v>320</v>
      </c>
      <c r="F91" s="21">
        <v>0</v>
      </c>
      <c r="G91" s="21">
        <v>0</v>
      </c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 t="s">
        <v>320</v>
      </c>
      <c r="F92" s="21">
        <v>0</v>
      </c>
      <c r="G92" s="21">
        <v>0</v>
      </c>
      <c r="H92" s="21"/>
      <c r="I92" s="46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41561.55</v>
      </c>
      <c r="E93" s="58">
        <f t="shared" ref="E93:P93" si="2">SUM(E6:E92)</f>
        <v>1507.78</v>
      </c>
      <c r="F93" s="58">
        <f t="shared" si="2"/>
        <v>6256.72</v>
      </c>
      <c r="G93" s="58">
        <f t="shared" si="2"/>
        <v>76443.96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125770.01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46"/>
      <c r="J94" s="236"/>
      <c r="K94" s="46"/>
      <c r="L94" s="236"/>
      <c r="M94" s="236"/>
      <c r="N94" s="236"/>
      <c r="O94" s="236"/>
      <c r="P94" s="236"/>
    </row>
    <row r="95" s="7" customFormat="1" ht="15" customHeight="1" spans="1:16">
      <c r="A95" s="252"/>
      <c r="B95" s="253"/>
      <c r="C95" s="254"/>
      <c r="D95" s="235"/>
      <c r="E95" s="47"/>
      <c r="F95" s="47"/>
      <c r="G95" s="236"/>
      <c r="H95" s="236"/>
      <c r="I95" s="46"/>
      <c r="J95" s="236"/>
      <c r="K95" s="46"/>
      <c r="L95" s="236"/>
      <c r="M95" s="236"/>
      <c r="N95" s="236"/>
      <c r="O95" s="236"/>
      <c r="P95" s="236"/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46"/>
      <c r="J96" s="236"/>
      <c r="K96" s="46"/>
      <c r="L96" s="236"/>
      <c r="M96" s="236"/>
      <c r="N96" s="236"/>
      <c r="O96" s="236"/>
      <c r="P96" s="236"/>
    </row>
    <row r="97" s="7" customFormat="1" ht="15" customHeight="1" spans="1:16">
      <c r="A97" s="252"/>
      <c r="B97" s="253"/>
      <c r="C97" s="254"/>
      <c r="D97" s="235"/>
      <c r="E97" s="47"/>
      <c r="F97" s="47"/>
      <c r="G97" s="236"/>
      <c r="H97" s="236"/>
      <c r="I97" s="46"/>
      <c r="J97" s="236"/>
      <c r="K97" s="255"/>
      <c r="L97" s="236"/>
      <c r="M97" s="236"/>
      <c r="N97" s="236"/>
      <c r="O97" s="236"/>
      <c r="P97" s="236"/>
    </row>
    <row r="98" s="7" customFormat="1" ht="15" customHeight="1" spans="1:16">
      <c r="A98" s="252" t="s">
        <v>178</v>
      </c>
      <c r="B98" s="253"/>
      <c r="C98" s="254"/>
      <c r="D98" s="47">
        <f>D93</f>
        <v>41561.55</v>
      </c>
      <c r="E98" s="47">
        <f t="shared" ref="E98:O98" si="4">E93</f>
        <v>1507.78</v>
      </c>
      <c r="F98" s="47">
        <f t="shared" si="4"/>
        <v>6256.72</v>
      </c>
      <c r="G98" s="47">
        <f t="shared" si="4"/>
        <v>76443.96</v>
      </c>
      <c r="H98" s="47">
        <f t="shared" si="4"/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47">
        <f t="shared" ref="P98:P101" si="5">SUM(D98:O98)</f>
        <v>125770.01</v>
      </c>
    </row>
    <row r="99" s="7" customFormat="1" ht="15" customHeight="1" spans="1:16">
      <c r="A99" s="252"/>
      <c r="B99" s="253"/>
      <c r="C99" s="254"/>
      <c r="D99" s="47">
        <f>D69+D68</f>
        <v>35431.35</v>
      </c>
      <c r="E99" s="47">
        <f>E69+E68</f>
        <v>0</v>
      </c>
      <c r="F99" s="47">
        <f t="shared" ref="F99:O99" si="6">F69+F68</f>
        <v>1400</v>
      </c>
      <c r="G99" s="47">
        <f t="shared" si="6"/>
        <v>56393.49</v>
      </c>
      <c r="H99" s="47">
        <f t="shared" si="6"/>
        <v>0</v>
      </c>
      <c r="I99" s="47">
        <f t="shared" si="6"/>
        <v>0</v>
      </c>
      <c r="J99" s="47">
        <f t="shared" si="6"/>
        <v>0</v>
      </c>
      <c r="K99" s="47">
        <f t="shared" si="6"/>
        <v>0</v>
      </c>
      <c r="L99" s="47">
        <f t="shared" si="6"/>
        <v>0</v>
      </c>
      <c r="M99" s="47">
        <f t="shared" si="6"/>
        <v>0</v>
      </c>
      <c r="N99" s="47">
        <f t="shared" si="6"/>
        <v>0</v>
      </c>
      <c r="O99" s="47">
        <f t="shared" si="6"/>
        <v>0</v>
      </c>
      <c r="P99" s="47">
        <f t="shared" si="5"/>
        <v>93224.84</v>
      </c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>
        <f t="shared" si="5"/>
        <v>0</v>
      </c>
    </row>
    <row r="101" s="7" customFormat="1" ht="15" customHeight="1" spans="1:16">
      <c r="A101" s="252"/>
      <c r="B101" s="253"/>
      <c r="C101" s="254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>
        <f t="shared" si="5"/>
        <v>0</v>
      </c>
    </row>
    <row r="102" s="7" customFormat="1" ht="15" customHeight="1" spans="1:16">
      <c r="A102" s="252" t="s">
        <v>180</v>
      </c>
      <c r="B102" s="253"/>
      <c r="C102" s="254"/>
      <c r="D102" s="47"/>
      <c r="E102" s="47"/>
      <c r="F102" s="47"/>
      <c r="G102" s="236"/>
      <c r="H102" s="236"/>
      <c r="I102" s="46"/>
      <c r="J102" s="236"/>
      <c r="K102" s="47"/>
      <c r="L102" s="47"/>
      <c r="M102" s="47"/>
      <c r="N102" s="47"/>
      <c r="O102" s="47"/>
      <c r="P102" s="236"/>
    </row>
    <row r="103" s="7" customFormat="1" ht="15" customHeight="1" spans="1:16">
      <c r="A103" s="252"/>
      <c r="B103" s="253"/>
      <c r="C103" s="254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7">SUM(E94,E96,E98,E100,E102)=E93</f>
        <v>1</v>
      </c>
      <c r="F105" s="239" t="b">
        <f t="shared" si="7"/>
        <v>1</v>
      </c>
      <c r="G105" s="239" t="b">
        <f t="shared" si="7"/>
        <v>1</v>
      </c>
      <c r="H105" s="239" t="b">
        <f t="shared" si="7"/>
        <v>1</v>
      </c>
      <c r="I105" s="239" t="b">
        <f t="shared" si="7"/>
        <v>1</v>
      </c>
      <c r="J105" s="239" t="b">
        <f t="shared" si="7"/>
        <v>1</v>
      </c>
      <c r="K105" s="239" t="b">
        <f t="shared" si="7"/>
        <v>1</v>
      </c>
      <c r="L105" s="239" t="b">
        <f t="shared" si="7"/>
        <v>1</v>
      </c>
      <c r="M105" s="239" t="b">
        <f t="shared" si="7"/>
        <v>1</v>
      </c>
      <c r="N105" s="239" t="b">
        <f t="shared" si="7"/>
        <v>1</v>
      </c>
      <c r="O105" s="239" t="b">
        <f t="shared" si="7"/>
        <v>1</v>
      </c>
      <c r="P105" s="239" t="b">
        <f t="shared" si="7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8">(E95+E97+E99+E101+E103)=(E68+E69)</f>
        <v>1</v>
      </c>
      <c r="F106" s="240" t="b">
        <f t="shared" si="8"/>
        <v>1</v>
      </c>
      <c r="G106" s="240" t="b">
        <f t="shared" si="8"/>
        <v>1</v>
      </c>
      <c r="H106" s="240" t="b">
        <f t="shared" si="8"/>
        <v>1</v>
      </c>
      <c r="I106" s="240" t="b">
        <f t="shared" si="8"/>
        <v>1</v>
      </c>
      <c r="J106" s="240" t="b">
        <f t="shared" si="8"/>
        <v>1</v>
      </c>
      <c r="K106" s="240" t="b">
        <f t="shared" si="8"/>
        <v>1</v>
      </c>
      <c r="L106" s="240" t="b">
        <f t="shared" si="8"/>
        <v>1</v>
      </c>
      <c r="M106" s="240" t="b">
        <f t="shared" si="8"/>
        <v>1</v>
      </c>
      <c r="N106" s="240" t="b">
        <f t="shared" si="8"/>
        <v>1</v>
      </c>
      <c r="O106" s="240" t="b">
        <f t="shared" si="8"/>
        <v>1</v>
      </c>
      <c r="P106" s="240" t="b">
        <f t="shared" si="8"/>
        <v>1</v>
      </c>
    </row>
    <row r="107" spans="14:16">
      <c r="N107" s="10">
        <f>N103+N101+N99+N97+N95-N68-N69</f>
        <v>0</v>
      </c>
      <c r="O107" s="68">
        <f>O93+'X-美思'!O93</f>
        <v>0</v>
      </c>
      <c r="P107" s="68"/>
    </row>
    <row r="108" spans="7:7">
      <c r="G108" s="68">
        <f t="shared" ref="G108" si="9">G102+G100+G98+G96+G94-G93</f>
        <v>0</v>
      </c>
    </row>
    <row r="110" s="6" customFormat="1" ht="12" spans="4:4">
      <c r="D110" s="241"/>
    </row>
  </sheetData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O41:IV41 A41:G41 K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G41 K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K41:L41">
    <cfRule type="cellIs" dxfId="0" priority="6" stopIfTrue="1" operator="equal">
      <formula>"no"</formula>
    </cfRule>
  </conditionalFormatting>
  <conditionalFormatting sqref="A41:C41 E41:G41 K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H105" sqref="H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321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46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46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46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46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46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46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46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46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46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/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/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/>
      <c r="H44" s="21"/>
      <c r="I44" s="46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/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/>
      <c r="H46" s="21"/>
      <c r="I46" s="46"/>
      <c r="J46" s="21"/>
      <c r="K46" s="46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/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/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/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/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/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/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/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/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/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/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/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/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/>
      <c r="H59" s="21"/>
      <c r="I59" s="46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/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/>
      <c r="H61" s="21"/>
      <c r="I61" s="46"/>
      <c r="J61" s="21"/>
      <c r="K61" s="46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/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/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/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/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/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/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/>
      <c r="H68" s="21"/>
      <c r="I68" s="46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/>
      <c r="E69" s="21"/>
      <c r="F69" s="21"/>
      <c r="G69" s="21"/>
      <c r="H69" s="21"/>
      <c r="I69" s="46"/>
      <c r="J69" s="21"/>
      <c r="K69" s="46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/>
      <c r="F70" s="21"/>
      <c r="G70" s="21"/>
      <c r="H70" s="21"/>
      <c r="I70" s="46"/>
      <c r="J70" s="21"/>
      <c r="K70" s="46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/>
      <c r="G71" s="21"/>
      <c r="H71" s="21"/>
      <c r="I71" s="46"/>
      <c r="J71" s="21"/>
      <c r="K71" s="46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/>
      <c r="G72" s="21"/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/>
      <c r="G73" s="21"/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/>
      <c r="G74" s="21"/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/>
      <c r="G75" s="21"/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/>
      <c r="G76" s="21"/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/>
      <c r="G77" s="21"/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/>
      <c r="G78" s="21"/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/>
      <c r="G79" s="21"/>
      <c r="H79" s="21"/>
      <c r="I79" s="46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/>
      <c r="G80" s="21"/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/>
      <c r="G85" s="21"/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/>
      <c r="G86" s="21"/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/>
      <c r="G87" s="21"/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/>
      <c r="G88" s="21"/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/>
      <c r="G89" s="21"/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/>
      <c r="G90" s="21"/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/>
      <c r="G91" s="21"/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/>
      <c r="G92" s="21"/>
      <c r="H92" s="21"/>
      <c r="I92" s="46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74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46"/>
      <c r="J94" s="236"/>
      <c r="K94" s="46"/>
      <c r="L94" s="236"/>
      <c r="M94" s="236"/>
      <c r="N94" s="236"/>
      <c r="O94" s="236"/>
      <c r="P94" s="236"/>
    </row>
    <row r="95" s="7" customFormat="1" ht="15" customHeight="1" spans="1:16">
      <c r="A95" s="252"/>
      <c r="B95" s="253"/>
      <c r="C95" s="254"/>
      <c r="D95" s="235"/>
      <c r="E95" s="47"/>
      <c r="F95" s="47"/>
      <c r="G95" s="236"/>
      <c r="H95" s="236"/>
      <c r="I95" s="46"/>
      <c r="J95" s="236"/>
      <c r="K95" s="46"/>
      <c r="L95" s="236"/>
      <c r="M95" s="236"/>
      <c r="N95" s="236"/>
      <c r="O95" s="236"/>
      <c r="P95" s="236"/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46"/>
      <c r="J96" s="236"/>
      <c r="K96" s="46"/>
      <c r="L96" s="236"/>
      <c r="M96" s="236"/>
      <c r="N96" s="236"/>
      <c r="O96" s="236"/>
      <c r="P96" s="236"/>
    </row>
    <row r="97" s="7" customFormat="1" ht="15" customHeight="1" spans="1:16">
      <c r="A97" s="252"/>
      <c r="B97" s="253"/>
      <c r="C97" s="254"/>
      <c r="D97" s="235"/>
      <c r="E97" s="47"/>
      <c r="F97" s="47"/>
      <c r="G97" s="236"/>
      <c r="H97" s="236"/>
      <c r="I97" s="46"/>
      <c r="J97" s="236"/>
      <c r="K97" s="255"/>
      <c r="L97" s="236"/>
      <c r="M97" s="236"/>
      <c r="N97" s="236"/>
      <c r="O97" s="236"/>
      <c r="P97" s="236"/>
    </row>
    <row r="98" s="7" customFormat="1" ht="15" customHeight="1" spans="1:16">
      <c r="A98" s="252" t="s">
        <v>178</v>
      </c>
      <c r="B98" s="253"/>
      <c r="C98" s="254"/>
      <c r="D98" s="47"/>
      <c r="E98" s="47"/>
      <c r="F98" s="47"/>
      <c r="G98" s="236"/>
      <c r="H98" s="236"/>
      <c r="I98" s="46"/>
      <c r="J98" s="236"/>
      <c r="K98" s="46"/>
      <c r="L98" s="236"/>
      <c r="M98" s="236"/>
      <c r="N98" s="236"/>
      <c r="O98" s="236"/>
      <c r="P98" s="236"/>
    </row>
    <row r="99" s="7" customFormat="1" ht="15" customHeight="1" spans="1:16">
      <c r="A99" s="252"/>
      <c r="B99" s="253"/>
      <c r="C99" s="254"/>
      <c r="D99" s="47"/>
      <c r="E99" s="47"/>
      <c r="F99" s="47"/>
      <c r="G99" s="236"/>
      <c r="H99" s="236"/>
      <c r="I99" s="46"/>
      <c r="J99" s="236"/>
      <c r="K99" s="255"/>
      <c r="L99" s="236"/>
      <c r="M99" s="236"/>
      <c r="N99" s="236"/>
      <c r="O99" s="236"/>
      <c r="P99" s="236"/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>
        <f t="shared" ref="P100:P101" si="4">SUM(D100:O100)</f>
        <v>0</v>
      </c>
    </row>
    <row r="101" s="7" customFormat="1" ht="15" customHeight="1" spans="1:16">
      <c r="A101" s="252"/>
      <c r="B101" s="253"/>
      <c r="C101" s="254"/>
      <c r="D101" s="47"/>
      <c r="E101" s="47"/>
      <c r="F101" s="47"/>
      <c r="G101" s="47"/>
      <c r="H101" s="47"/>
      <c r="I101" s="47"/>
      <c r="J101" s="47"/>
      <c r="K101" s="255"/>
      <c r="L101" s="47"/>
      <c r="M101" s="47"/>
      <c r="N101" s="47"/>
      <c r="O101" s="47"/>
      <c r="P101" s="47">
        <f t="shared" si="4"/>
        <v>0</v>
      </c>
    </row>
    <row r="102" s="7" customFormat="1" ht="15" customHeight="1" spans="1:16">
      <c r="A102" s="252" t="s">
        <v>180</v>
      </c>
      <c r="B102" s="253"/>
      <c r="C102" s="254"/>
      <c r="D102" s="47">
        <f>D93</f>
        <v>0</v>
      </c>
      <c r="E102" s="47">
        <f t="shared" ref="E102:O102" si="5">E93</f>
        <v>0</v>
      </c>
      <c r="F102" s="47">
        <f t="shared" si="5"/>
        <v>0</v>
      </c>
      <c r="G102" s="47">
        <f t="shared" si="5"/>
        <v>0</v>
      </c>
      <c r="H102" s="47">
        <f t="shared" si="5"/>
        <v>0</v>
      </c>
      <c r="I102" s="47">
        <f t="shared" si="5"/>
        <v>0</v>
      </c>
      <c r="J102" s="47">
        <f t="shared" si="5"/>
        <v>0</v>
      </c>
      <c r="K102" s="47">
        <f t="shared" si="5"/>
        <v>0</v>
      </c>
      <c r="L102" s="47">
        <f t="shared" si="5"/>
        <v>0</v>
      </c>
      <c r="M102" s="47">
        <f t="shared" si="5"/>
        <v>0</v>
      </c>
      <c r="N102" s="47">
        <f t="shared" si="5"/>
        <v>0</v>
      </c>
      <c r="O102" s="47">
        <f t="shared" si="5"/>
        <v>0</v>
      </c>
      <c r="P102" s="236"/>
    </row>
    <row r="103" s="7" customFormat="1" ht="15" customHeight="1" spans="1:16">
      <c r="A103" s="252"/>
      <c r="B103" s="253"/>
      <c r="C103" s="254"/>
      <c r="D103" s="47">
        <f>D69+D68</f>
        <v>0</v>
      </c>
      <c r="E103" s="47">
        <f t="shared" ref="E103:O103" si="6">E69+E68</f>
        <v>0</v>
      </c>
      <c r="F103" s="47">
        <f t="shared" si="6"/>
        <v>0</v>
      </c>
      <c r="G103" s="47">
        <f t="shared" si="6"/>
        <v>0</v>
      </c>
      <c r="H103" s="47">
        <f t="shared" si="6"/>
        <v>0</v>
      </c>
      <c r="I103" s="47">
        <f t="shared" si="6"/>
        <v>0</v>
      </c>
      <c r="J103" s="47">
        <f t="shared" si="6"/>
        <v>0</v>
      </c>
      <c r="K103" s="47">
        <f t="shared" si="6"/>
        <v>0</v>
      </c>
      <c r="L103" s="47">
        <f t="shared" si="6"/>
        <v>0</v>
      </c>
      <c r="M103" s="47">
        <f t="shared" si="6"/>
        <v>0</v>
      </c>
      <c r="N103" s="47">
        <f t="shared" si="6"/>
        <v>0</v>
      </c>
      <c r="O103" s="47">
        <f t="shared" si="6"/>
        <v>0</v>
      </c>
      <c r="P103" s="47"/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7">SUM(E94,E96,E98,E100,E102)=E93</f>
        <v>1</v>
      </c>
      <c r="F105" s="239" t="b">
        <f t="shared" si="7"/>
        <v>1</v>
      </c>
      <c r="G105" s="239" t="b">
        <f t="shared" si="7"/>
        <v>1</v>
      </c>
      <c r="H105" s="239" t="b">
        <f t="shared" si="7"/>
        <v>1</v>
      </c>
      <c r="I105" s="239" t="b">
        <f t="shared" si="7"/>
        <v>1</v>
      </c>
      <c r="J105" s="239" t="b">
        <f t="shared" si="7"/>
        <v>1</v>
      </c>
      <c r="K105" s="239" t="b">
        <f t="shared" si="7"/>
        <v>1</v>
      </c>
      <c r="L105" s="239" t="b">
        <f t="shared" si="7"/>
        <v>1</v>
      </c>
      <c r="M105" s="239" t="b">
        <f t="shared" si="7"/>
        <v>1</v>
      </c>
      <c r="N105" s="239" t="b">
        <f t="shared" si="7"/>
        <v>1</v>
      </c>
      <c r="O105" s="239" t="b">
        <f t="shared" si="7"/>
        <v>1</v>
      </c>
      <c r="P105" s="239" t="b">
        <f t="shared" si="7"/>
        <v>1</v>
      </c>
    </row>
    <row r="106" s="6" customFormat="1" ht="13.5" spans="4:16">
      <c r="D106" s="240" t="b">
        <f>(D95+D97+D99+D101+D103)=(D68-D69)</f>
        <v>1</v>
      </c>
      <c r="E106" s="240" t="b">
        <f t="shared" ref="E106:P106" si="8">(E95+E97+E99+E101+E103)=(E68-E69)</f>
        <v>1</v>
      </c>
      <c r="F106" s="240" t="b">
        <f t="shared" si="8"/>
        <v>1</v>
      </c>
      <c r="G106" s="240" t="b">
        <f t="shared" si="8"/>
        <v>1</v>
      </c>
      <c r="H106" s="240" t="b">
        <f t="shared" si="8"/>
        <v>1</v>
      </c>
      <c r="I106" s="240" t="b">
        <f t="shared" si="8"/>
        <v>1</v>
      </c>
      <c r="J106" s="240" t="b">
        <f t="shared" si="8"/>
        <v>1</v>
      </c>
      <c r="K106" s="240" t="b">
        <f t="shared" si="8"/>
        <v>1</v>
      </c>
      <c r="L106" s="240" t="b">
        <f t="shared" si="8"/>
        <v>1</v>
      </c>
      <c r="M106" s="240" t="b">
        <f t="shared" si="8"/>
        <v>1</v>
      </c>
      <c r="N106" s="240" t="b">
        <f t="shared" si="8"/>
        <v>1</v>
      </c>
      <c r="O106" s="240" t="b">
        <f t="shared" si="8"/>
        <v>1</v>
      </c>
      <c r="P106" s="240" t="b">
        <f t="shared" si="8"/>
        <v>1</v>
      </c>
    </row>
    <row r="107" spans="16:16">
      <c r="P107" s="68">
        <f>P106-P93</f>
        <v>1</v>
      </c>
    </row>
    <row r="108" spans="7:7">
      <c r="G108" s="68">
        <f t="shared" ref="G108" si="9">G102+G100+G98+G96+G94-G93</f>
        <v>0</v>
      </c>
    </row>
    <row r="110" s="6" customFormat="1" ht="12" spans="4:4">
      <c r="D110" s="241"/>
    </row>
  </sheetData>
  <autoFilter ref="B5:P94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J41"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6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2" stopIfTrue="1" operator="equal">
      <formula>"no"</formula>
    </cfRule>
    <cfRule type="cellIs" dxfId="0" priority="34" stopIfTrue="1" operator="equal">
      <formula>"no"</formula>
    </cfRule>
    <cfRule type="cellIs" dxfId="0" priority="36" stopIfTrue="1" operator="equal">
      <formula>"no"</formula>
    </cfRule>
    <cfRule type="cellIs" dxfId="0" priority="39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O41:IV41 A41:H41 J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H41 J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 J41:L41">
    <cfRule type="cellIs" dxfId="0" priority="6" stopIfTrue="1" operator="equal">
      <formula>"no"</formula>
    </cfRule>
  </conditionalFormatting>
  <conditionalFormatting sqref="A41:C41 E41:H41 J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5" activePane="bottomRight" state="frozen"/>
      <selection/>
      <selection pane="topRight"/>
      <selection pane="bottomLeft"/>
      <selection pane="bottomRight" activeCell="O103" sqref="O103:P10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17" width="15.75" style="10" customWidth="1"/>
    <col min="18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318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49">
        <v>5000</v>
      </c>
      <c r="E6" s="21"/>
      <c r="F6" s="21"/>
      <c r="G6" s="21"/>
      <c r="H6" s="21"/>
      <c r="I6" s="46"/>
      <c r="J6" s="21"/>
      <c r="K6" s="46"/>
      <c r="L6" s="21"/>
      <c r="M6" s="21"/>
      <c r="N6" s="21"/>
      <c r="O6" s="21"/>
      <c r="P6" s="47">
        <f>SUM(D6:O6)</f>
        <v>5000</v>
      </c>
      <c r="Q6" s="48">
        <f>P6+P7+P8+P19+P22+P23+P24+P25+P26</f>
        <v>11558.7</v>
      </c>
    </row>
    <row r="7" s="5" customFormat="1" ht="17.25" customHeight="1" spans="1:16">
      <c r="A7" s="199"/>
      <c r="B7" s="23"/>
      <c r="C7" s="20" t="s">
        <v>71</v>
      </c>
      <c r="D7" s="249">
        <v>4850</v>
      </c>
      <c r="E7" s="21"/>
      <c r="F7" s="21"/>
      <c r="G7" s="21"/>
      <c r="H7" s="21"/>
      <c r="I7" s="46"/>
      <c r="J7" s="21"/>
      <c r="K7" s="46"/>
      <c r="L7" s="21"/>
      <c r="M7" s="21"/>
      <c r="N7" s="21"/>
      <c r="O7" s="21"/>
      <c r="P7" s="47">
        <f t="shared" ref="P7:P70" si="0">SUM(D7:O7)</f>
        <v>4850</v>
      </c>
    </row>
    <row r="8" s="5" customFormat="1" ht="17.25" customHeight="1" spans="1:16">
      <c r="A8" s="199"/>
      <c r="B8" s="19" t="s">
        <v>72</v>
      </c>
      <c r="C8" s="20" t="s">
        <v>72</v>
      </c>
      <c r="D8" s="249"/>
      <c r="E8" s="21"/>
      <c r="F8" s="21"/>
      <c r="G8" s="21"/>
      <c r="H8" s="21"/>
      <c r="I8" s="46"/>
      <c r="J8" s="21"/>
      <c r="K8" s="46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49"/>
      <c r="E9" s="21"/>
      <c r="F9" s="21"/>
      <c r="G9" s="21"/>
      <c r="H9" s="21"/>
      <c r="I9" s="46"/>
      <c r="J9" s="21"/>
      <c r="K9" s="46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49"/>
      <c r="E10" s="21"/>
      <c r="F10" s="21"/>
      <c r="G10" s="21"/>
      <c r="H10" s="21"/>
      <c r="I10" s="46"/>
      <c r="J10" s="21"/>
      <c r="K10" s="46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49"/>
      <c r="E11" s="21"/>
      <c r="F11" s="21"/>
      <c r="G11" s="21"/>
      <c r="H11" s="21"/>
      <c r="I11" s="46"/>
      <c r="J11" s="21"/>
      <c r="K11" s="46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49"/>
      <c r="E12" s="21"/>
      <c r="F12" s="21"/>
      <c r="G12" s="21"/>
      <c r="H12" s="21"/>
      <c r="I12" s="46"/>
      <c r="J12" s="21"/>
      <c r="K12" s="46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49"/>
      <c r="E13" s="21"/>
      <c r="F13" s="21"/>
      <c r="G13" s="21"/>
      <c r="H13" s="21"/>
      <c r="I13" s="46"/>
      <c r="J13" s="21"/>
      <c r="K13" s="46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49"/>
      <c r="E14" s="21"/>
      <c r="F14" s="21"/>
      <c r="G14" s="21"/>
      <c r="H14" s="21"/>
      <c r="I14" s="46"/>
      <c r="J14" s="21"/>
      <c r="K14" s="46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49"/>
      <c r="E15" s="21"/>
      <c r="F15" s="21"/>
      <c r="G15" s="21"/>
      <c r="H15" s="21"/>
      <c r="I15" s="46"/>
      <c r="J15" s="21"/>
      <c r="K15" s="46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49"/>
      <c r="E16" s="21"/>
      <c r="F16" s="21"/>
      <c r="G16" s="21"/>
      <c r="H16" s="21"/>
      <c r="I16" s="46"/>
      <c r="J16" s="21"/>
      <c r="K16" s="46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49"/>
      <c r="E17" s="21"/>
      <c r="F17" s="21"/>
      <c r="G17" s="21"/>
      <c r="H17" s="21"/>
      <c r="I17" s="46"/>
      <c r="J17" s="21"/>
      <c r="K17" s="46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49"/>
      <c r="E18" s="21"/>
      <c r="F18" s="21"/>
      <c r="G18" s="21"/>
      <c r="H18" s="21"/>
      <c r="I18" s="46"/>
      <c r="J18" s="21"/>
      <c r="K18" s="46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49">
        <v>350</v>
      </c>
      <c r="E19" s="21"/>
      <c r="F19" s="21"/>
      <c r="G19" s="21"/>
      <c r="H19" s="21"/>
      <c r="I19" s="46"/>
      <c r="J19" s="21"/>
      <c r="K19" s="46"/>
      <c r="L19" s="21"/>
      <c r="M19" s="21"/>
      <c r="N19" s="21"/>
      <c r="O19" s="21"/>
      <c r="P19" s="47">
        <f t="shared" si="0"/>
        <v>350</v>
      </c>
    </row>
    <row r="20" s="5" customFormat="1" ht="17.25" customHeight="1" spans="1:16">
      <c r="A20" s="199"/>
      <c r="B20" s="19" t="s">
        <v>85</v>
      </c>
      <c r="C20" s="20" t="s">
        <v>85</v>
      </c>
      <c r="D20" s="249"/>
      <c r="E20" s="21"/>
      <c r="F20" s="21"/>
      <c r="G20" s="21"/>
      <c r="H20" s="21"/>
      <c r="I20" s="46"/>
      <c r="J20" s="21"/>
      <c r="K20" s="46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49"/>
      <c r="E21" s="21"/>
      <c r="F21" s="21"/>
      <c r="G21" s="21"/>
      <c r="H21" s="21"/>
      <c r="I21" s="46"/>
      <c r="J21" s="21"/>
      <c r="K21" s="46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49"/>
      <c r="E22" s="21"/>
      <c r="F22" s="21">
        <v>900.4</v>
      </c>
      <c r="G22" s="21"/>
      <c r="H22" s="21"/>
      <c r="I22" s="46"/>
      <c r="J22" s="21"/>
      <c r="K22" s="46"/>
      <c r="L22" s="21"/>
      <c r="M22" s="21"/>
      <c r="N22" s="21"/>
      <c r="O22" s="21"/>
      <c r="P22" s="47">
        <f t="shared" si="0"/>
        <v>900.4</v>
      </c>
    </row>
    <row r="23" s="5" customFormat="1" ht="17.25" customHeight="1" spans="1:16">
      <c r="A23" s="199"/>
      <c r="B23" s="24"/>
      <c r="C23" s="25" t="s">
        <v>89</v>
      </c>
      <c r="D23" s="250"/>
      <c r="E23" s="21"/>
      <c r="F23" s="21">
        <v>25</v>
      </c>
      <c r="G23" s="21"/>
      <c r="H23" s="21"/>
      <c r="I23" s="46"/>
      <c r="J23" s="21"/>
      <c r="K23" s="46"/>
      <c r="L23" s="21"/>
      <c r="M23" s="21"/>
      <c r="N23" s="21"/>
      <c r="O23" s="21"/>
      <c r="P23" s="47">
        <f t="shared" si="0"/>
        <v>25</v>
      </c>
    </row>
    <row r="24" s="5" customFormat="1" ht="17.25" customHeight="1" spans="1:16">
      <c r="A24" s="199"/>
      <c r="B24" s="24"/>
      <c r="C24" s="25" t="s">
        <v>90</v>
      </c>
      <c r="D24" s="249"/>
      <c r="E24" s="21"/>
      <c r="F24" s="21">
        <v>8</v>
      </c>
      <c r="G24" s="21"/>
      <c r="H24" s="21"/>
      <c r="I24" s="46"/>
      <c r="J24" s="21"/>
      <c r="K24" s="46"/>
      <c r="L24" s="21"/>
      <c r="M24" s="21"/>
      <c r="N24" s="21"/>
      <c r="O24" s="21"/>
      <c r="P24" s="47">
        <f t="shared" si="0"/>
        <v>8</v>
      </c>
    </row>
    <row r="25" s="5" customFormat="1" ht="17.25" customHeight="1" spans="1:16">
      <c r="A25" s="199"/>
      <c r="B25" s="24"/>
      <c r="C25" s="25" t="s">
        <v>91</v>
      </c>
      <c r="D25" s="249"/>
      <c r="E25" s="21"/>
      <c r="F25" s="21">
        <v>375.2</v>
      </c>
      <c r="G25" s="21"/>
      <c r="H25" s="21"/>
      <c r="I25" s="46"/>
      <c r="J25" s="21"/>
      <c r="K25" s="46"/>
      <c r="L25" s="21"/>
      <c r="M25" s="21"/>
      <c r="N25" s="21"/>
      <c r="O25" s="21"/>
      <c r="P25" s="47">
        <f t="shared" si="0"/>
        <v>375.2</v>
      </c>
    </row>
    <row r="26" s="5" customFormat="1" ht="17.25" customHeight="1" spans="1:16">
      <c r="A26" s="199"/>
      <c r="B26" s="23"/>
      <c r="C26" s="25" t="s">
        <v>92</v>
      </c>
      <c r="D26" s="249"/>
      <c r="E26" s="21"/>
      <c r="F26" s="21">
        <v>50.1</v>
      </c>
      <c r="G26" s="21"/>
      <c r="H26" s="21"/>
      <c r="I26" s="46"/>
      <c r="J26" s="21"/>
      <c r="K26" s="46"/>
      <c r="L26" s="21"/>
      <c r="M26" s="21"/>
      <c r="N26" s="21"/>
      <c r="O26" s="21"/>
      <c r="P26" s="47">
        <f t="shared" si="0"/>
        <v>50.1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46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46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46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46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46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46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46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46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46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46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46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46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46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46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46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/>
      <c r="F42" s="21"/>
      <c r="G42" s="21"/>
      <c r="H42" s="21"/>
      <c r="I42" s="46"/>
      <c r="J42" s="21"/>
      <c r="K42" s="46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/>
      <c r="F43" s="21"/>
      <c r="G43" s="21"/>
      <c r="H43" s="21"/>
      <c r="I43" s="46"/>
      <c r="J43" s="21"/>
      <c r="K43" s="46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/>
      <c r="F44" s="21"/>
      <c r="G44" s="21"/>
      <c r="H44" s="21"/>
      <c r="I44" s="46"/>
      <c r="J44" s="21"/>
      <c r="K44" s="46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/>
      <c r="F45" s="21"/>
      <c r="G45" s="21"/>
      <c r="H45" s="21"/>
      <c r="I45" s="46"/>
      <c r="J45" s="21"/>
      <c r="K45" s="46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/>
      <c r="E46" s="21"/>
      <c r="F46" s="21"/>
      <c r="G46" s="21"/>
      <c r="H46" s="21"/>
      <c r="I46" s="46"/>
      <c r="J46" s="21"/>
      <c r="K46" s="46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/>
      <c r="F47" s="21"/>
      <c r="G47" s="21"/>
      <c r="H47" s="21"/>
      <c r="I47" s="46"/>
      <c r="J47" s="21"/>
      <c r="K47" s="46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/>
      <c r="F48" s="21"/>
      <c r="G48" s="21"/>
      <c r="H48" s="21"/>
      <c r="I48" s="46"/>
      <c r="J48" s="21"/>
      <c r="K48" s="46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/>
      <c r="F49" s="21"/>
      <c r="G49" s="21"/>
      <c r="H49" s="21"/>
      <c r="I49" s="46"/>
      <c r="J49" s="21"/>
      <c r="K49" s="46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/>
      <c r="F50" s="21"/>
      <c r="G50" s="21"/>
      <c r="H50" s="21"/>
      <c r="I50" s="46"/>
      <c r="J50" s="21"/>
      <c r="K50" s="46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/>
      <c r="F51" s="21"/>
      <c r="G51" s="21"/>
      <c r="H51" s="21"/>
      <c r="I51" s="46"/>
      <c r="J51" s="21"/>
      <c r="K51" s="46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/>
      <c r="F52" s="21"/>
      <c r="G52" s="21"/>
      <c r="H52" s="21"/>
      <c r="I52" s="46"/>
      <c r="J52" s="21"/>
      <c r="K52" s="46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/>
      <c r="F53" s="21"/>
      <c r="G53" s="21"/>
      <c r="H53" s="21"/>
      <c r="I53" s="46"/>
      <c r="J53" s="21"/>
      <c r="K53" s="46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/>
      <c r="F54" s="21"/>
      <c r="G54" s="21"/>
      <c r="H54" s="21"/>
      <c r="I54" s="46"/>
      <c r="J54" s="21"/>
      <c r="K54" s="46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/>
      <c r="F55" s="21"/>
      <c r="G55" s="21"/>
      <c r="H55" s="21"/>
      <c r="I55" s="46"/>
      <c r="J55" s="21"/>
      <c r="K55" s="46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/>
      <c r="F56" s="21"/>
      <c r="G56" s="21"/>
      <c r="H56" s="21"/>
      <c r="I56" s="46"/>
      <c r="J56" s="21"/>
      <c r="K56" s="46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/>
      <c r="F57" s="21"/>
      <c r="G57" s="21"/>
      <c r="H57" s="21"/>
      <c r="I57" s="46"/>
      <c r="J57" s="21"/>
      <c r="K57" s="46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/>
      <c r="F58" s="21"/>
      <c r="G58" s="21"/>
      <c r="H58" s="21"/>
      <c r="I58" s="46"/>
      <c r="J58" s="21"/>
      <c r="K58" s="46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/>
      <c r="F59" s="21"/>
      <c r="G59" s="21"/>
      <c r="H59" s="21"/>
      <c r="I59" s="46"/>
      <c r="J59" s="21"/>
      <c r="K59" s="46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/>
      <c r="F60" s="21"/>
      <c r="G60" s="21"/>
      <c r="H60" s="21"/>
      <c r="I60" s="46"/>
      <c r="J60" s="21"/>
      <c r="K60" s="46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/>
      <c r="F61" s="21"/>
      <c r="G61" s="21"/>
      <c r="H61" s="21"/>
      <c r="I61" s="46"/>
      <c r="J61" s="21"/>
      <c r="K61" s="46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/>
      <c r="F62" s="21"/>
      <c r="G62" s="21"/>
      <c r="H62" s="21"/>
      <c r="I62" s="46"/>
      <c r="J62" s="21"/>
      <c r="K62" s="46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/>
      <c r="F63" s="21"/>
      <c r="G63" s="21"/>
      <c r="H63" s="21"/>
      <c r="I63" s="46"/>
      <c r="J63" s="21"/>
      <c r="K63" s="46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/>
      <c r="F64" s="21"/>
      <c r="G64" s="21"/>
      <c r="H64" s="21"/>
      <c r="I64" s="46"/>
      <c r="J64" s="21"/>
      <c r="K64" s="46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/>
      <c r="F65" s="21"/>
      <c r="G65" s="21"/>
      <c r="H65" s="21"/>
      <c r="I65" s="46"/>
      <c r="J65" s="21"/>
      <c r="K65" s="46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/>
      <c r="F66" s="21"/>
      <c r="G66" s="21"/>
      <c r="H66" s="21"/>
      <c r="I66" s="46"/>
      <c r="J66" s="21"/>
      <c r="K66" s="46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/>
      <c r="F67" s="21"/>
      <c r="G67" s="21"/>
      <c r="H67" s="21"/>
      <c r="I67" s="46"/>
      <c r="J67" s="21"/>
      <c r="K67" s="46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/>
      <c r="G68" s="21"/>
      <c r="H68" s="21"/>
      <c r="I68" s="46"/>
      <c r="J68" s="21"/>
      <c r="K68" s="46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51"/>
      <c r="E69" s="21"/>
      <c r="F69" s="21"/>
      <c r="G69" s="21"/>
      <c r="H69" s="21"/>
      <c r="I69" s="46"/>
      <c r="J69" s="21"/>
      <c r="K69" s="46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51"/>
      <c r="E70" s="21"/>
      <c r="F70" s="21"/>
      <c r="G70" s="21"/>
      <c r="H70" s="21"/>
      <c r="I70" s="46"/>
      <c r="J70" s="21"/>
      <c r="K70" s="46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51"/>
      <c r="E71" s="21"/>
      <c r="F71" s="21"/>
      <c r="G71" s="21"/>
      <c r="H71" s="21"/>
      <c r="I71" s="46"/>
      <c r="J71" s="21"/>
      <c r="K71" s="46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51"/>
      <c r="E72" s="21"/>
      <c r="F72" s="21"/>
      <c r="G72" s="21"/>
      <c r="H72" s="21"/>
      <c r="I72" s="46"/>
      <c r="J72" s="21"/>
      <c r="K72" s="46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51"/>
      <c r="E73" s="21"/>
      <c r="F73" s="21"/>
      <c r="G73" s="21"/>
      <c r="H73" s="21"/>
      <c r="I73" s="46"/>
      <c r="J73" s="21"/>
      <c r="K73" s="46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51"/>
      <c r="E74" s="21"/>
      <c r="F74" s="21"/>
      <c r="G74" s="21"/>
      <c r="H74" s="21"/>
      <c r="I74" s="46"/>
      <c r="J74" s="21"/>
      <c r="K74" s="46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51"/>
      <c r="E75" s="21"/>
      <c r="F75" s="21"/>
      <c r="G75" s="21"/>
      <c r="H75" s="21"/>
      <c r="I75" s="46"/>
      <c r="J75" s="21"/>
      <c r="K75" s="46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51"/>
      <c r="E76" s="21"/>
      <c r="F76" s="21"/>
      <c r="G76" s="21"/>
      <c r="H76" s="21"/>
      <c r="I76" s="46"/>
      <c r="J76" s="21"/>
      <c r="K76" s="46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51"/>
      <c r="E77" s="21"/>
      <c r="F77" s="21"/>
      <c r="G77" s="21"/>
      <c r="H77" s="21"/>
      <c r="I77" s="46"/>
      <c r="J77" s="21"/>
      <c r="K77" s="46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51"/>
      <c r="E78" s="21"/>
      <c r="F78" s="21"/>
      <c r="G78" s="21"/>
      <c r="H78" s="21"/>
      <c r="I78" s="46"/>
      <c r="J78" s="21"/>
      <c r="K78" s="46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51"/>
      <c r="E79" s="21"/>
      <c r="F79" s="21"/>
      <c r="G79" s="21"/>
      <c r="H79" s="21"/>
      <c r="I79" s="46"/>
      <c r="J79" s="21"/>
      <c r="K79" s="46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51"/>
      <c r="E80" s="21"/>
      <c r="F80" s="21"/>
      <c r="G80" s="21"/>
      <c r="H80" s="21"/>
      <c r="I80" s="46"/>
      <c r="J80" s="21"/>
      <c r="K80" s="46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51"/>
      <c r="E81" s="21"/>
      <c r="F81" s="21"/>
      <c r="G81" s="21"/>
      <c r="H81" s="21"/>
      <c r="I81" s="46"/>
      <c r="J81" s="21"/>
      <c r="K81" s="46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51"/>
      <c r="E82" s="21"/>
      <c r="F82" s="21"/>
      <c r="G82" s="21"/>
      <c r="H82" s="21"/>
      <c r="I82" s="46"/>
      <c r="J82" s="21"/>
      <c r="K82" s="46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51"/>
      <c r="E83" s="21"/>
      <c r="F83" s="21"/>
      <c r="G83" s="21"/>
      <c r="H83" s="21"/>
      <c r="I83" s="46"/>
      <c r="J83" s="21"/>
      <c r="K83" s="46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51"/>
      <c r="E84" s="21"/>
      <c r="F84" s="21"/>
      <c r="G84" s="21"/>
      <c r="H84" s="21"/>
      <c r="I84" s="46"/>
      <c r="J84" s="21"/>
      <c r="K84" s="46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51"/>
      <c r="E85" s="21"/>
      <c r="F85" s="21"/>
      <c r="G85" s="21"/>
      <c r="H85" s="21"/>
      <c r="I85" s="46"/>
      <c r="J85" s="21"/>
      <c r="K85" s="46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51"/>
      <c r="E86" s="21"/>
      <c r="F86" s="21"/>
      <c r="G86" s="21"/>
      <c r="H86" s="21"/>
      <c r="I86" s="46"/>
      <c r="J86" s="21"/>
      <c r="K86" s="46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51"/>
      <c r="E87" s="21"/>
      <c r="F87" s="21"/>
      <c r="G87" s="21"/>
      <c r="H87" s="21"/>
      <c r="I87" s="46"/>
      <c r="J87" s="21"/>
      <c r="K87" s="46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51"/>
      <c r="E88" s="21"/>
      <c r="F88" s="21"/>
      <c r="G88" s="21"/>
      <c r="H88" s="21"/>
      <c r="I88" s="46"/>
      <c r="J88" s="21"/>
      <c r="K88" s="46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51"/>
      <c r="E89" s="21"/>
      <c r="F89" s="21"/>
      <c r="G89" s="21"/>
      <c r="H89" s="21"/>
      <c r="I89" s="46"/>
      <c r="J89" s="21"/>
      <c r="K89" s="46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51"/>
      <c r="E90" s="21"/>
      <c r="F90" s="21"/>
      <c r="G90" s="21"/>
      <c r="H90" s="21"/>
      <c r="I90" s="46"/>
      <c r="J90" s="21"/>
      <c r="K90" s="46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51"/>
      <c r="E91" s="21"/>
      <c r="F91" s="21"/>
      <c r="G91" s="21"/>
      <c r="H91" s="21"/>
      <c r="I91" s="46"/>
      <c r="J91" s="21"/>
      <c r="K91" s="46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51"/>
      <c r="E92" s="21"/>
      <c r="F92" s="21"/>
      <c r="G92" s="21"/>
      <c r="H92" s="21"/>
      <c r="I92" s="74"/>
      <c r="J92" s="21"/>
      <c r="K92" s="46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10200</v>
      </c>
      <c r="E93" s="58">
        <f t="shared" ref="E93:P93" si="2">SUM(E6:E92)</f>
        <v>0</v>
      </c>
      <c r="F93" s="58">
        <f t="shared" si="2"/>
        <v>1358.7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11558.7</v>
      </c>
    </row>
    <row r="94" s="7" customFormat="1" ht="15" customHeight="1" spans="1:16">
      <c r="A94" s="252" t="s">
        <v>176</v>
      </c>
      <c r="B94" s="253"/>
      <c r="C94" s="254"/>
      <c r="D94" s="235"/>
      <c r="E94" s="47"/>
      <c r="F94" s="47"/>
      <c r="G94" s="236"/>
      <c r="H94" s="236"/>
      <c r="I94" s="46"/>
      <c r="J94" s="236"/>
      <c r="K94" s="46"/>
      <c r="L94" s="236"/>
      <c r="M94" s="236"/>
      <c r="N94" s="236"/>
      <c r="O94" s="236"/>
      <c r="P94" s="236"/>
    </row>
    <row r="95" s="7" customFormat="1" ht="15" customHeight="1" spans="1:16">
      <c r="A95" s="252"/>
      <c r="B95" s="253"/>
      <c r="C95" s="254"/>
      <c r="D95" s="235"/>
      <c r="E95" s="47"/>
      <c r="F95" s="47"/>
      <c r="G95" s="236"/>
      <c r="H95" s="236"/>
      <c r="I95" s="46"/>
      <c r="J95" s="236"/>
      <c r="K95" s="46"/>
      <c r="L95" s="236"/>
      <c r="M95" s="236"/>
      <c r="N95" s="236"/>
      <c r="O95" s="236"/>
      <c r="P95" s="236"/>
    </row>
    <row r="96" s="7" customFormat="1" ht="15" customHeight="1" spans="1:16">
      <c r="A96" s="252" t="s">
        <v>177</v>
      </c>
      <c r="B96" s="253"/>
      <c r="C96" s="254"/>
      <c r="D96" s="235"/>
      <c r="E96" s="47"/>
      <c r="F96" s="47"/>
      <c r="G96" s="236"/>
      <c r="H96" s="236"/>
      <c r="I96" s="46"/>
      <c r="J96" s="236"/>
      <c r="K96" s="46"/>
      <c r="L96" s="236"/>
      <c r="M96" s="236"/>
      <c r="N96" s="236"/>
      <c r="O96" s="236"/>
      <c r="P96" s="236"/>
    </row>
    <row r="97" s="7" customFormat="1" ht="15" customHeight="1" spans="1:16">
      <c r="A97" s="252"/>
      <c r="B97" s="253"/>
      <c r="C97" s="254"/>
      <c r="D97" s="235"/>
      <c r="E97" s="47"/>
      <c r="F97" s="47"/>
      <c r="G97" s="236"/>
      <c r="H97" s="236"/>
      <c r="I97" s="46"/>
      <c r="J97" s="236"/>
      <c r="K97" s="255"/>
      <c r="L97" s="236"/>
      <c r="M97" s="236"/>
      <c r="N97" s="236"/>
      <c r="O97" s="236"/>
      <c r="P97" s="236"/>
    </row>
    <row r="98" s="7" customFormat="1" ht="15" customHeight="1" spans="1:16">
      <c r="A98" s="252" t="s">
        <v>178</v>
      </c>
      <c r="B98" s="253"/>
      <c r="C98" s="254"/>
      <c r="D98" s="47"/>
      <c r="E98" s="47"/>
      <c r="F98" s="47"/>
      <c r="G98" s="236"/>
      <c r="H98" s="236"/>
      <c r="I98" s="46"/>
      <c r="J98" s="236"/>
      <c r="K98" s="46"/>
      <c r="L98" s="236"/>
      <c r="M98" s="236"/>
      <c r="N98" s="236"/>
      <c r="O98" s="236"/>
      <c r="P98" s="236"/>
    </row>
    <row r="99" s="7" customFormat="1" ht="15" customHeight="1" spans="1:16">
      <c r="A99" s="252"/>
      <c r="B99" s="253"/>
      <c r="C99" s="254"/>
      <c r="D99" s="47"/>
      <c r="E99" s="47"/>
      <c r="F99" s="47"/>
      <c r="G99" s="236"/>
      <c r="H99" s="236"/>
      <c r="I99" s="46"/>
      <c r="J99" s="236"/>
      <c r="K99" s="255"/>
      <c r="L99" s="236"/>
      <c r="M99" s="236"/>
      <c r="N99" s="236"/>
      <c r="O99" s="236"/>
      <c r="P99" s="236"/>
    </row>
    <row r="100" s="7" customFormat="1" ht="15" customHeight="1" spans="1:16">
      <c r="A100" s="252" t="s">
        <v>179</v>
      </c>
      <c r="B100" s="253"/>
      <c r="C100" s="254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>
        <f t="shared" ref="P100:P101" si="4">SUM(D100:O100)</f>
        <v>0</v>
      </c>
    </row>
    <row r="101" s="7" customFormat="1" ht="15" customHeight="1" spans="1:16">
      <c r="A101" s="252"/>
      <c r="B101" s="253"/>
      <c r="C101" s="254"/>
      <c r="D101" s="47"/>
      <c r="E101" s="47"/>
      <c r="F101" s="47"/>
      <c r="G101" s="47"/>
      <c r="H101" s="47"/>
      <c r="I101" s="47"/>
      <c r="J101" s="47"/>
      <c r="K101" s="255"/>
      <c r="L101" s="47"/>
      <c r="M101" s="47"/>
      <c r="N101" s="47"/>
      <c r="O101" s="47"/>
      <c r="P101" s="47">
        <f t="shared" si="4"/>
        <v>0</v>
      </c>
    </row>
    <row r="102" s="7" customFormat="1" ht="15" customHeight="1" spans="1:16">
      <c r="A102" s="252" t="s">
        <v>180</v>
      </c>
      <c r="B102" s="253"/>
      <c r="C102" s="254"/>
      <c r="D102" s="47">
        <f>D93</f>
        <v>10200</v>
      </c>
      <c r="E102" s="47">
        <f t="shared" ref="E102:O102" si="5">E93</f>
        <v>0</v>
      </c>
      <c r="F102" s="47">
        <f t="shared" si="5"/>
        <v>1358.7</v>
      </c>
      <c r="G102" s="47">
        <f t="shared" si="5"/>
        <v>0</v>
      </c>
      <c r="H102" s="47">
        <f t="shared" si="5"/>
        <v>0</v>
      </c>
      <c r="I102" s="47">
        <f t="shared" si="5"/>
        <v>0</v>
      </c>
      <c r="J102" s="47">
        <f t="shared" si="5"/>
        <v>0</v>
      </c>
      <c r="K102" s="47">
        <f t="shared" si="5"/>
        <v>0</v>
      </c>
      <c r="L102" s="47">
        <f t="shared" si="5"/>
        <v>0</v>
      </c>
      <c r="M102" s="47">
        <f t="shared" si="5"/>
        <v>0</v>
      </c>
      <c r="N102" s="47">
        <f t="shared" si="5"/>
        <v>0</v>
      </c>
      <c r="O102" s="47">
        <f t="shared" si="5"/>
        <v>0</v>
      </c>
      <c r="P102" s="236"/>
    </row>
    <row r="103" s="7" customFormat="1" ht="15" customHeight="1" spans="1:16">
      <c r="A103" s="252"/>
      <c r="B103" s="253"/>
      <c r="C103" s="254"/>
      <c r="D103" s="47">
        <f>D68+D69</f>
        <v>0</v>
      </c>
      <c r="E103" s="47">
        <f t="shared" ref="E103:P103" si="6">E68+E69</f>
        <v>0</v>
      </c>
      <c r="F103" s="47">
        <f t="shared" si="6"/>
        <v>0</v>
      </c>
      <c r="G103" s="47">
        <f t="shared" si="6"/>
        <v>0</v>
      </c>
      <c r="H103" s="47">
        <f t="shared" si="6"/>
        <v>0</v>
      </c>
      <c r="I103" s="47">
        <f t="shared" si="6"/>
        <v>0</v>
      </c>
      <c r="J103" s="47">
        <f t="shared" si="6"/>
        <v>0</v>
      </c>
      <c r="K103" s="47">
        <f t="shared" si="6"/>
        <v>0</v>
      </c>
      <c r="L103" s="47">
        <f t="shared" si="6"/>
        <v>0</v>
      </c>
      <c r="M103" s="47">
        <f t="shared" si="6"/>
        <v>0</v>
      </c>
      <c r="N103" s="47">
        <f t="shared" si="6"/>
        <v>0</v>
      </c>
      <c r="O103" s="47">
        <f t="shared" si="6"/>
        <v>0</v>
      </c>
      <c r="P103" s="47">
        <f t="shared" si="6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4:16">
      <c r="D105" s="239" t="b">
        <f>SUM(D94,D96,D98,D100,D102)=D93</f>
        <v>1</v>
      </c>
      <c r="E105" s="239" t="b">
        <f t="shared" ref="E105:P105" si="7">SUM(E94,E96,E98,E100,E102)=E93</f>
        <v>1</v>
      </c>
      <c r="F105" s="239" t="b">
        <f t="shared" si="7"/>
        <v>1</v>
      </c>
      <c r="G105" s="239" t="b">
        <f t="shared" si="7"/>
        <v>1</v>
      </c>
      <c r="H105" s="239" t="b">
        <f t="shared" si="7"/>
        <v>1</v>
      </c>
      <c r="I105" s="239" t="b">
        <f t="shared" si="7"/>
        <v>1</v>
      </c>
      <c r="J105" s="239" t="b">
        <f t="shared" si="7"/>
        <v>1</v>
      </c>
      <c r="K105" s="239" t="b">
        <f t="shared" si="7"/>
        <v>1</v>
      </c>
      <c r="L105" s="239" t="b">
        <f t="shared" si="7"/>
        <v>1</v>
      </c>
      <c r="M105" s="239" t="b">
        <f t="shared" si="7"/>
        <v>1</v>
      </c>
      <c r="N105" s="239" t="b">
        <f t="shared" si="7"/>
        <v>1</v>
      </c>
      <c r="O105" s="239" t="b">
        <f t="shared" si="7"/>
        <v>1</v>
      </c>
      <c r="P105" s="239" t="b">
        <f t="shared" si="7"/>
        <v>0</v>
      </c>
    </row>
    <row r="106" s="6" customFormat="1" ht="13.5" spans="4:16">
      <c r="D106" s="240" t="b">
        <f>(D95+D97+D99+D101+D103)=(D68-D69)</f>
        <v>1</v>
      </c>
      <c r="E106" s="240" t="b">
        <f t="shared" ref="E106:P106" si="8">(E95+E97+E99+E101+E103)=(E68-E69)</f>
        <v>1</v>
      </c>
      <c r="F106" s="240" t="b">
        <f t="shared" si="8"/>
        <v>1</v>
      </c>
      <c r="G106" s="240" t="b">
        <f t="shared" si="8"/>
        <v>1</v>
      </c>
      <c r="H106" s="240" t="b">
        <f t="shared" si="8"/>
        <v>1</v>
      </c>
      <c r="I106" s="240" t="b">
        <f t="shared" si="8"/>
        <v>1</v>
      </c>
      <c r="J106" s="240" t="b">
        <f t="shared" si="8"/>
        <v>1</v>
      </c>
      <c r="K106" s="240" t="b">
        <f t="shared" si="8"/>
        <v>1</v>
      </c>
      <c r="L106" s="240" t="b">
        <f t="shared" si="8"/>
        <v>1</v>
      </c>
      <c r="M106" s="240" t="b">
        <f t="shared" si="8"/>
        <v>1</v>
      </c>
      <c r="N106" s="240" t="b">
        <f t="shared" si="8"/>
        <v>1</v>
      </c>
      <c r="O106" s="240" t="b">
        <f t="shared" si="8"/>
        <v>1</v>
      </c>
      <c r="P106" s="240" t="b">
        <f t="shared" si="8"/>
        <v>1</v>
      </c>
    </row>
    <row r="107" spans="4:16">
      <c r="D107" s="68">
        <f>D93+'X-张家港吉慕特'!D93</f>
        <v>10200</v>
      </c>
      <c r="E107" s="68">
        <f>E93+'X-张家港吉慕特'!E93</f>
        <v>0</v>
      </c>
      <c r="N107" s="10">
        <f>N103+N101+N99+N97+N95-N68-N69</f>
        <v>0</v>
      </c>
      <c r="P107" s="68">
        <f>P106-P93</f>
        <v>-11557.7</v>
      </c>
    </row>
    <row r="108" spans="7:7">
      <c r="G108" s="68">
        <f t="shared" ref="G108" si="9">G102+G100+G98+G96+G94-G93</f>
        <v>0</v>
      </c>
    </row>
    <row r="110" s="6" customFormat="1" ht="12" spans="4:4">
      <c r="D110" s="241"/>
    </row>
  </sheetData>
  <autoFilter ref="B5:P94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41"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3" stopIfTrue="1" operator="equal">
      <formula>"no"</formula>
    </cfRule>
    <cfRule type="cellIs" dxfId="0" priority="27" stopIfTrue="1" operator="equal">
      <formula>"no"</formula>
    </cfRule>
    <cfRule type="cellIs" dxfId="0" priority="31" stopIfTrue="1" operator="equal">
      <formula>"no"</formula>
    </cfRule>
    <cfRule type="cellIs" dxfId="0" priority="35" stopIfTrue="1" operator="equal">
      <formula>"no"</formula>
    </cfRule>
    <cfRule type="cellIs" dxfId="0" priority="38" stopIfTrue="1" operator="equal">
      <formula>"no"</formula>
    </cfRule>
  </conditionalFormatting>
  <conditionalFormatting sqref="J41"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6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2" stopIfTrue="1" operator="equal">
      <formula>"no"</formula>
    </cfRule>
    <cfRule type="cellIs" dxfId="0" priority="34" stopIfTrue="1" operator="equal">
      <formula>"no"</formula>
    </cfRule>
    <cfRule type="cellIs" dxfId="0" priority="36" stopIfTrue="1" operator="equal">
      <formula>"no"</formula>
    </cfRule>
    <cfRule type="cellIs" dxfId="0" priority="39" stopIfTrue="1" operator="equal">
      <formula>"no"</formula>
    </cfRule>
  </conditionalFormatting>
  <conditionalFormatting sqref="K41">
    <cfRule type="cellIs" dxfId="0" priority="3" stopIfTrue="1" operator="equal">
      <formula>"no"</formula>
    </cfRule>
  </conditionalFormatting>
  <conditionalFormatting sqref="D106:P106">
    <cfRule type="cellIs" dxfId="0" priority="1" stopIfTrue="1" operator="equal">
      <formula>"no"</formula>
    </cfRule>
  </conditionalFormatting>
  <conditionalFormatting sqref="O41:IV41 A41:H41 J41:M41">
    <cfRule type="cellIs" dxfId="0" priority="15" stopIfTrue="1" operator="equal">
      <formula>"no"</formula>
    </cfRule>
    <cfRule type="cellIs" dxfId="0" priority="21" stopIfTrue="1" operator="equal">
      <formula>"no"</formula>
    </cfRule>
    <cfRule type="cellIs" dxfId="0" priority="25" stopIfTrue="1" operator="equal">
      <formula>"no"</formula>
    </cfRule>
    <cfRule type="cellIs" dxfId="0" priority="29" stopIfTrue="1" operator="equal">
      <formula>"no"</formula>
    </cfRule>
    <cfRule type="cellIs" dxfId="0" priority="33" stopIfTrue="1" operator="equal">
      <formula>"no"</formula>
    </cfRule>
    <cfRule type="cellIs" dxfId="0" priority="37" stopIfTrue="1" operator="equal">
      <formula>"no"</formula>
    </cfRule>
    <cfRule type="cellIs" dxfId="0" priority="40" stopIfTrue="1" operator="equal">
      <formula>"no"</formula>
    </cfRule>
    <cfRule type="cellIs" dxfId="0" priority="41" stopIfTrue="1" operator="equal">
      <formula>"no"</formula>
    </cfRule>
    <cfRule type="cellIs" dxfId="0" priority="42" stopIfTrue="1" operator="equal">
      <formula>"no"</formula>
    </cfRule>
  </conditionalFormatting>
  <conditionalFormatting sqref="O41:XFD41 A41:H41 J41:L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 J41:L41">
    <cfRule type="cellIs" dxfId="0" priority="6" stopIfTrue="1" operator="equal">
      <formula>"no"</formula>
    </cfRule>
  </conditionalFormatting>
  <conditionalFormatting sqref="A41:C41 E41:H41 J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F105" sqref="F105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322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0</v>
      </c>
      <c r="E6" s="21">
        <v>0</v>
      </c>
      <c r="F6" s="21">
        <v>0</v>
      </c>
      <c r="G6" s="21">
        <v>0</v>
      </c>
      <c r="H6" s="21"/>
      <c r="I6" s="21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199"/>
      <c r="B7" s="23"/>
      <c r="C7" s="20" t="s">
        <v>71</v>
      </c>
      <c r="D7" s="21">
        <v>0</v>
      </c>
      <c r="E7" s="21">
        <v>0</v>
      </c>
      <c r="F7" s="21">
        <v>0</v>
      </c>
      <c r="G7" s="21">
        <v>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>
        <v>0</v>
      </c>
      <c r="E8" s="21">
        <v>0</v>
      </c>
      <c r="F8" s="21">
        <v>0</v>
      </c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>
        <v>0</v>
      </c>
      <c r="E9" s="21">
        <v>0</v>
      </c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>
        <v>0</v>
      </c>
      <c r="E10" s="21">
        <v>0</v>
      </c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>
        <v>0</v>
      </c>
      <c r="E11" s="21">
        <v>0</v>
      </c>
      <c r="F11" s="21">
        <v>0</v>
      </c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>
        <v>0</v>
      </c>
      <c r="E12" s="21">
        <v>0</v>
      </c>
      <c r="F12" s="21">
        <v>0</v>
      </c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>
        <v>0</v>
      </c>
      <c r="E13" s="21">
        <v>0</v>
      </c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>
        <v>0</v>
      </c>
      <c r="E14" s="21">
        <v>0</v>
      </c>
      <c r="F14" s="21">
        <v>0</v>
      </c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>
        <v>0</v>
      </c>
      <c r="E15" s="21">
        <v>0</v>
      </c>
      <c r="F15" s="21">
        <v>0</v>
      </c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>
        <v>0</v>
      </c>
      <c r="E16" s="21">
        <v>0</v>
      </c>
      <c r="F16" s="21">
        <v>0</v>
      </c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>
        <v>0</v>
      </c>
      <c r="E17" s="21">
        <v>0</v>
      </c>
      <c r="F17" s="21">
        <v>0</v>
      </c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>
        <v>0</v>
      </c>
      <c r="E18" s="21">
        <v>0</v>
      </c>
      <c r="F18" s="21">
        <v>0</v>
      </c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>
        <v>0</v>
      </c>
      <c r="E19" s="21">
        <v>0</v>
      </c>
      <c r="F19" s="21">
        <v>0</v>
      </c>
      <c r="G19" s="21">
        <v>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>
        <v>0</v>
      </c>
      <c r="E20" s="21">
        <v>0</v>
      </c>
      <c r="F20" s="21">
        <v>0</v>
      </c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>
        <v>0</v>
      </c>
      <c r="E21" s="21">
        <v>0</v>
      </c>
      <c r="F21" s="21">
        <v>0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0</v>
      </c>
      <c r="E22" s="21">
        <v>0</v>
      </c>
      <c r="F22" s="21">
        <v>0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199"/>
      <c r="B23" s="24"/>
      <c r="C23" s="25" t="s">
        <v>89</v>
      </c>
      <c r="D23" s="21">
        <v>0</v>
      </c>
      <c r="E23" s="21">
        <v>0</v>
      </c>
      <c r="F23" s="21">
        <v>0</v>
      </c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>
        <v>0</v>
      </c>
      <c r="E24" s="21">
        <v>0</v>
      </c>
      <c r="F24" s="21">
        <v>0</v>
      </c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>
        <v>0</v>
      </c>
      <c r="E25" s="21">
        <v>0</v>
      </c>
      <c r="F25" s="21">
        <v>0</v>
      </c>
      <c r="G25" s="21">
        <v>0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>
        <v>0</v>
      </c>
      <c r="E26" s="21">
        <v>0</v>
      </c>
      <c r="F26" s="21">
        <v>0</v>
      </c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>
        <v>0</v>
      </c>
      <c r="E27" s="21">
        <v>0</v>
      </c>
      <c r="F27" s="21">
        <v>0</v>
      </c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>
        <v>0</v>
      </c>
      <c r="E28" s="21">
        <v>0</v>
      </c>
      <c r="F28" s="21">
        <v>0</v>
      </c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>
        <v>0</v>
      </c>
      <c r="E29" s="21">
        <v>0</v>
      </c>
      <c r="F29" s="21">
        <v>0</v>
      </c>
      <c r="G29" s="21">
        <v>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>
        <v>0</v>
      </c>
      <c r="E30" s="21">
        <v>0</v>
      </c>
      <c r="F30" s="21">
        <v>0</v>
      </c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>
        <v>0</v>
      </c>
      <c r="E31" s="21">
        <v>0</v>
      </c>
      <c r="F31" s="21">
        <v>0</v>
      </c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>
        <v>0</v>
      </c>
      <c r="E32" s="21">
        <v>0</v>
      </c>
      <c r="F32" s="21">
        <v>0</v>
      </c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>
        <v>0</v>
      </c>
      <c r="E33" s="21">
        <v>0</v>
      </c>
      <c r="F33" s="21">
        <v>0</v>
      </c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0</v>
      </c>
      <c r="E34" s="21">
        <v>0</v>
      </c>
      <c r="F34" s="21">
        <v>0</v>
      </c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>
        <v>0</v>
      </c>
      <c r="E35" s="21">
        <v>0</v>
      </c>
      <c r="F35" s="21">
        <v>0</v>
      </c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>
        <v>0</v>
      </c>
      <c r="E36" s="21">
        <v>0</v>
      </c>
      <c r="F36" s="21">
        <v>0</v>
      </c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0</v>
      </c>
      <c r="E37" s="21">
        <v>0</v>
      </c>
      <c r="F37" s="21">
        <v>0</v>
      </c>
      <c r="G37" s="21">
        <v>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>
        <v>0</v>
      </c>
      <c r="E38" s="21">
        <v>0</v>
      </c>
      <c r="F38" s="21">
        <v>0</v>
      </c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>
        <v>0</v>
      </c>
      <c r="E39" s="21">
        <v>0</v>
      </c>
      <c r="F39" s="21">
        <v>0</v>
      </c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>
        <v>0</v>
      </c>
      <c r="E40" s="21">
        <v>0</v>
      </c>
      <c r="F40" s="21">
        <v>0</v>
      </c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0</v>
      </c>
      <c r="E41" s="21">
        <v>0</v>
      </c>
      <c r="F41" s="21">
        <v>0</v>
      </c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>
        <v>0</v>
      </c>
      <c r="E42" s="21">
        <v>0</v>
      </c>
      <c r="F42" s="21">
        <v>0</v>
      </c>
      <c r="G42" s="21">
        <v>0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v>0</v>
      </c>
      <c r="E43" s="21">
        <v>0</v>
      </c>
      <c r="F43" s="21">
        <v>0</v>
      </c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>
        <v>0</v>
      </c>
      <c r="E44" s="21">
        <v>0</v>
      </c>
      <c r="F44" s="21">
        <v>0</v>
      </c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>
        <v>0</v>
      </c>
      <c r="E45" s="21">
        <v>0</v>
      </c>
      <c r="F45" s="21">
        <v>0</v>
      </c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0</v>
      </c>
      <c r="E46" s="21">
        <v>0</v>
      </c>
      <c r="F46" s="21">
        <v>0</v>
      </c>
      <c r="G46" s="21">
        <v>0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>
        <v>0</v>
      </c>
      <c r="E47" s="21">
        <v>0</v>
      </c>
      <c r="F47" s="21">
        <v>0</v>
      </c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>
        <v>0</v>
      </c>
      <c r="E48" s="21">
        <v>0</v>
      </c>
      <c r="F48" s="21">
        <v>0</v>
      </c>
      <c r="G48" s="21">
        <v>0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>
        <v>0</v>
      </c>
      <c r="E49" s="21">
        <v>0</v>
      </c>
      <c r="F49" s="21">
        <v>0</v>
      </c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>
        <v>0</v>
      </c>
      <c r="E50" s="21">
        <v>0</v>
      </c>
      <c r="F50" s="21">
        <v>0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>
        <v>0</v>
      </c>
      <c r="E51" s="21">
        <v>0</v>
      </c>
      <c r="F51" s="21">
        <v>0</v>
      </c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>
        <v>0</v>
      </c>
      <c r="E52" s="21">
        <v>0</v>
      </c>
      <c r="F52" s="21">
        <v>0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>
        <v>0</v>
      </c>
      <c r="E53" s="21">
        <v>0</v>
      </c>
      <c r="F53" s="21">
        <v>0</v>
      </c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>
        <v>0</v>
      </c>
      <c r="E54" s="21">
        <v>0</v>
      </c>
      <c r="F54" s="21">
        <v>0</v>
      </c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>
        <v>0</v>
      </c>
      <c r="E55" s="21">
        <v>0</v>
      </c>
      <c r="F55" s="21">
        <v>0</v>
      </c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>
        <v>0</v>
      </c>
      <c r="E56" s="21">
        <v>0</v>
      </c>
      <c r="F56" s="21">
        <v>0</v>
      </c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>
        <v>0</v>
      </c>
      <c r="E57" s="21">
        <v>0</v>
      </c>
      <c r="F57" s="21">
        <v>0</v>
      </c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>
        <v>0</v>
      </c>
      <c r="E58" s="21">
        <v>0</v>
      </c>
      <c r="F58" s="21">
        <v>0</v>
      </c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>
        <v>0</v>
      </c>
      <c r="E59" s="21">
        <v>0</v>
      </c>
      <c r="F59" s="21">
        <v>0</v>
      </c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>
        <v>0</v>
      </c>
      <c r="E60" s="21">
        <v>0</v>
      </c>
      <c r="F60" s="21">
        <v>0</v>
      </c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>
        <v>0</v>
      </c>
      <c r="E61" s="21">
        <v>0</v>
      </c>
      <c r="F61" s="21">
        <v>0</v>
      </c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>
        <v>0</v>
      </c>
      <c r="E62" s="21">
        <v>0</v>
      </c>
      <c r="F62" s="21">
        <v>0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>
        <v>0</v>
      </c>
      <c r="E63" s="21">
        <v>0</v>
      </c>
      <c r="F63" s="21">
        <v>0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>
        <v>0</v>
      </c>
      <c r="E64" s="21">
        <v>0</v>
      </c>
      <c r="F64" s="21">
        <v>0</v>
      </c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>
        <v>0</v>
      </c>
      <c r="E65" s="21">
        <v>0</v>
      </c>
      <c r="F65" s="21">
        <v>0</v>
      </c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>
        <v>0</v>
      </c>
      <c r="E66" s="21">
        <v>0</v>
      </c>
      <c r="F66" s="21">
        <v>0</v>
      </c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>
        <v>0</v>
      </c>
      <c r="E67" s="21">
        <v>0</v>
      </c>
      <c r="F67" s="21">
        <v>0</v>
      </c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>
        <v>0</v>
      </c>
      <c r="E68" s="21">
        <v>0</v>
      </c>
      <c r="F68" s="21">
        <v>0</v>
      </c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0</v>
      </c>
      <c r="E69" s="21">
        <v>0</v>
      </c>
      <c r="F69" s="21">
        <v>0</v>
      </c>
      <c r="G69" s="21">
        <v>0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0</v>
      </c>
      <c r="E70" s="21">
        <v>0</v>
      </c>
      <c r="F70" s="21">
        <v>0</v>
      </c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>
        <v>0</v>
      </c>
      <c r="E71" s="21">
        <v>0</v>
      </c>
      <c r="F71" s="21">
        <v>0</v>
      </c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>
        <v>0</v>
      </c>
      <c r="E72" s="21">
        <v>0</v>
      </c>
      <c r="F72" s="21">
        <v>0</v>
      </c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>
        <v>0</v>
      </c>
      <c r="E73" s="21">
        <v>0</v>
      </c>
      <c r="F73" s="21">
        <v>0</v>
      </c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>
        <v>0</v>
      </c>
      <c r="E74" s="21">
        <v>0</v>
      </c>
      <c r="F74" s="21">
        <v>0</v>
      </c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>
        <v>0</v>
      </c>
      <c r="E75" s="21">
        <v>0</v>
      </c>
      <c r="F75" s="21">
        <v>0</v>
      </c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>
        <v>0</v>
      </c>
      <c r="E76" s="21">
        <v>0</v>
      </c>
      <c r="F76" s="21">
        <v>0</v>
      </c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>
        <v>0</v>
      </c>
      <c r="E77" s="21">
        <v>0</v>
      </c>
      <c r="F77" s="21">
        <v>0</v>
      </c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>
        <v>0</v>
      </c>
      <c r="E78" s="21">
        <v>0</v>
      </c>
      <c r="F78" s="21">
        <v>0</v>
      </c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>
        <v>0</v>
      </c>
      <c r="E79" s="21">
        <v>0</v>
      </c>
      <c r="F79" s="21">
        <v>0</v>
      </c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>
        <v>0</v>
      </c>
      <c r="E80" s="21">
        <v>0</v>
      </c>
      <c r="F80" s="21">
        <v>0</v>
      </c>
      <c r="G80" s="21">
        <v>0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>
        <v>0</v>
      </c>
      <c r="E81" s="21">
        <v>0</v>
      </c>
      <c r="F81" s="21">
        <v>0</v>
      </c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>
        <v>0</v>
      </c>
      <c r="E82" s="21">
        <v>0</v>
      </c>
      <c r="F82" s="21">
        <v>0</v>
      </c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>
        <v>0</v>
      </c>
      <c r="E83" s="21">
        <v>0</v>
      </c>
      <c r="F83" s="21">
        <v>0</v>
      </c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>
        <v>0</v>
      </c>
      <c r="E84" s="21">
        <v>0</v>
      </c>
      <c r="F84" s="21">
        <v>0</v>
      </c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>
        <v>0</v>
      </c>
      <c r="E85" s="21">
        <v>0</v>
      </c>
      <c r="F85" s="21">
        <v>0</v>
      </c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>
        <v>0</v>
      </c>
      <c r="E86" s="21">
        <v>0</v>
      </c>
      <c r="F86" s="21">
        <v>0</v>
      </c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>
        <v>0</v>
      </c>
      <c r="E87" s="21">
        <v>0</v>
      </c>
      <c r="F87" s="21">
        <v>0</v>
      </c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>
        <v>0</v>
      </c>
      <c r="E88" s="21">
        <v>0</v>
      </c>
      <c r="F88" s="21">
        <v>0</v>
      </c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>
        <v>0</v>
      </c>
      <c r="E89" s="21">
        <v>0</v>
      </c>
      <c r="F89" s="21">
        <v>0</v>
      </c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>
        <v>0</v>
      </c>
      <c r="E90" s="21">
        <v>0</v>
      </c>
      <c r="F90" s="21">
        <v>0</v>
      </c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>
        <v>0</v>
      </c>
      <c r="E91" s="21">
        <v>0</v>
      </c>
      <c r="F91" s="21">
        <v>0</v>
      </c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>
        <v>0</v>
      </c>
      <c r="E92" s="21">
        <v>0</v>
      </c>
      <c r="F92" s="21">
        <v>0</v>
      </c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0</v>
      </c>
      <c r="E93" s="58">
        <f t="shared" ref="E93:P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0</v>
      </c>
    </row>
    <row r="94" s="7" customFormat="1" ht="15" customHeight="1" spans="1:16">
      <c r="A94" s="61" t="s">
        <v>176</v>
      </c>
      <c r="B94" s="62"/>
      <c r="C94" s="63"/>
      <c r="D94" s="246"/>
      <c r="E94" s="246"/>
      <c r="F94" s="247"/>
      <c r="G94" s="247"/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61"/>
      <c r="B95" s="237" t="s">
        <v>308</v>
      </c>
      <c r="C95" s="63"/>
      <c r="D95" s="246"/>
      <c r="E95" s="246"/>
      <c r="F95" s="246"/>
      <c r="G95" s="246">
        <f t="shared" ref="G95" si="3">+G94</f>
        <v>0</v>
      </c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4">SUM(D95:O95)</f>
        <v>0</v>
      </c>
    </row>
    <row r="96" s="7" customFormat="1" ht="15" customHeight="1" spans="1:16">
      <c r="A96" s="61" t="s">
        <v>177</v>
      </c>
      <c r="B96" s="62"/>
      <c r="C96" s="63"/>
      <c r="D96" s="246"/>
      <c r="E96" s="246"/>
      <c r="F96" s="247"/>
      <c r="G96" s="247"/>
      <c r="H96" s="236"/>
      <c r="I96" s="236"/>
      <c r="J96" s="236"/>
      <c r="K96" s="236"/>
      <c r="L96" s="236"/>
      <c r="M96" s="236"/>
      <c r="N96" s="236"/>
      <c r="O96" s="236"/>
      <c r="P96" s="47">
        <f t="shared" si="4"/>
        <v>0</v>
      </c>
    </row>
    <row r="97" s="7" customFormat="1" ht="15" customHeight="1" spans="1:16">
      <c r="A97" s="61"/>
      <c r="B97" s="237" t="s">
        <v>308</v>
      </c>
      <c r="C97" s="63"/>
      <c r="D97" s="246"/>
      <c r="E97" s="246"/>
      <c r="F97" s="246"/>
      <c r="G97" s="246"/>
      <c r="H97" s="236"/>
      <c r="I97" s="236"/>
      <c r="J97" s="236"/>
      <c r="K97" s="236"/>
      <c r="L97" s="236"/>
      <c r="M97" s="236"/>
      <c r="N97" s="236"/>
      <c r="O97" s="236"/>
      <c r="P97" s="47">
        <f t="shared" si="4"/>
        <v>0</v>
      </c>
    </row>
    <row r="98" s="7" customFormat="1" ht="15" customHeight="1" spans="1:16">
      <c r="A98" s="61" t="s">
        <v>309</v>
      </c>
      <c r="B98" s="62"/>
      <c r="C98" s="63"/>
      <c r="D98" s="246">
        <f>D93</f>
        <v>0</v>
      </c>
      <c r="E98" s="246">
        <f t="shared" ref="E98:O98" si="5">E93</f>
        <v>0</v>
      </c>
      <c r="F98" s="246">
        <f t="shared" si="5"/>
        <v>0</v>
      </c>
      <c r="G98" s="246">
        <f t="shared" si="5"/>
        <v>0</v>
      </c>
      <c r="H98" s="47">
        <f t="shared" si="5"/>
        <v>0</v>
      </c>
      <c r="I98" s="47">
        <f t="shared" si="5"/>
        <v>0</v>
      </c>
      <c r="J98" s="47">
        <f t="shared" si="5"/>
        <v>0</v>
      </c>
      <c r="K98" s="47">
        <f t="shared" si="5"/>
        <v>0</v>
      </c>
      <c r="L98" s="47">
        <f t="shared" si="5"/>
        <v>0</v>
      </c>
      <c r="M98" s="47">
        <f t="shared" si="5"/>
        <v>0</v>
      </c>
      <c r="N98" s="47">
        <f t="shared" si="5"/>
        <v>0</v>
      </c>
      <c r="O98" s="47">
        <f t="shared" si="5"/>
        <v>0</v>
      </c>
      <c r="P98" s="47">
        <f t="shared" si="4"/>
        <v>0</v>
      </c>
    </row>
    <row r="99" s="7" customFormat="1" ht="15" customHeight="1" spans="1:16">
      <c r="A99" s="61"/>
      <c r="B99" s="237" t="s">
        <v>308</v>
      </c>
      <c r="C99" s="63"/>
      <c r="D99" s="246"/>
      <c r="E99" s="246"/>
      <c r="F99" s="246"/>
      <c r="G99" s="246"/>
      <c r="H99" s="47"/>
      <c r="I99" s="47"/>
      <c r="J99" s="47"/>
      <c r="K99" s="47"/>
      <c r="L99" s="47"/>
      <c r="M99" s="47"/>
      <c r="N99" s="47"/>
      <c r="O99" s="47"/>
      <c r="P99" s="47"/>
    </row>
    <row r="100" s="7" customFormat="1" ht="15" customHeight="1" spans="1:16">
      <c r="A100" s="61" t="s">
        <v>179</v>
      </c>
      <c r="B100" s="62"/>
      <c r="C100" s="63"/>
      <c r="D100" s="246"/>
      <c r="E100" s="246"/>
      <c r="F100" s="247"/>
      <c r="G100" s="247"/>
      <c r="H100" s="47"/>
      <c r="I100" s="47"/>
      <c r="J100" s="47"/>
      <c r="K100" s="47"/>
      <c r="L100" s="47"/>
      <c r="M100" s="47"/>
      <c r="N100" s="47"/>
      <c r="O100" s="47"/>
      <c r="P100" s="47"/>
    </row>
    <row r="101" s="7" customFormat="1" ht="15" customHeight="1" spans="1:16">
      <c r="A101" s="61"/>
      <c r="B101" s="237" t="s">
        <v>308</v>
      </c>
      <c r="C101" s="63"/>
      <c r="D101" s="246">
        <f>+D100</f>
        <v>0</v>
      </c>
      <c r="E101" s="246">
        <f t="shared" ref="E101:G101" si="6">+E100</f>
        <v>0</v>
      </c>
      <c r="F101" s="246">
        <f t="shared" si="6"/>
        <v>0</v>
      </c>
      <c r="G101" s="246">
        <f t="shared" si="6"/>
        <v>0</v>
      </c>
      <c r="H101" s="47">
        <f t="shared" ref="H101:O101" si="7">H68+H69</f>
        <v>0</v>
      </c>
      <c r="I101" s="47">
        <f t="shared" si="7"/>
        <v>0</v>
      </c>
      <c r="J101" s="47">
        <f t="shared" si="7"/>
        <v>0</v>
      </c>
      <c r="K101" s="47">
        <f t="shared" si="7"/>
        <v>0</v>
      </c>
      <c r="L101" s="47">
        <f t="shared" si="7"/>
        <v>0</v>
      </c>
      <c r="M101" s="47">
        <f t="shared" si="7"/>
        <v>0</v>
      </c>
      <c r="N101" s="47">
        <f t="shared" si="7"/>
        <v>0</v>
      </c>
      <c r="O101" s="47">
        <f t="shared" si="7"/>
        <v>0</v>
      </c>
      <c r="P101" s="47">
        <f t="shared" si="4"/>
        <v>0</v>
      </c>
    </row>
    <row r="102" s="7" customFormat="1" ht="15" customHeight="1" spans="1:16">
      <c r="A102" s="61" t="s">
        <v>180</v>
      </c>
      <c r="B102" s="62"/>
      <c r="C102" s="63"/>
      <c r="D102" s="246"/>
      <c r="E102" s="246"/>
      <c r="F102" s="246"/>
      <c r="G102" s="246">
        <f t="shared" ref="G102" si="8">G93-G94-G96-G98</f>
        <v>0</v>
      </c>
      <c r="H102" s="236"/>
      <c r="I102" s="236"/>
      <c r="J102" s="236"/>
      <c r="K102" s="236"/>
      <c r="L102" s="236"/>
      <c r="M102" s="236"/>
      <c r="N102" s="236"/>
      <c r="O102" s="236"/>
      <c r="P102" s="47">
        <f t="shared" si="4"/>
        <v>0</v>
      </c>
    </row>
    <row r="103" s="7" customFormat="1" ht="15" customHeight="1" spans="1:16">
      <c r="A103" s="243"/>
      <c r="B103" s="248" t="s">
        <v>308</v>
      </c>
      <c r="C103" s="245"/>
      <c r="D103" s="47"/>
      <c r="E103" s="47"/>
      <c r="F103" s="47"/>
      <c r="G103" s="236"/>
      <c r="H103" s="236"/>
      <c r="I103" s="236"/>
      <c r="J103" s="236"/>
      <c r="K103" s="236"/>
      <c r="L103" s="236"/>
      <c r="M103" s="236"/>
      <c r="N103" s="236"/>
      <c r="O103" s="236"/>
      <c r="P103" s="47">
        <f t="shared" si="4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1:16">
      <c r="A105" s="190"/>
      <c r="D105" s="240">
        <f>D93-D98</f>
        <v>0</v>
      </c>
      <c r="E105" s="240">
        <f t="shared" ref="E105:P105" si="9">E93-E98</f>
        <v>0</v>
      </c>
      <c r="F105" s="240">
        <f t="shared" si="9"/>
        <v>0</v>
      </c>
      <c r="G105" s="240">
        <f t="shared" si="9"/>
        <v>0</v>
      </c>
      <c r="H105" s="240">
        <f t="shared" si="9"/>
        <v>0</v>
      </c>
      <c r="I105" s="240">
        <f t="shared" si="9"/>
        <v>0</v>
      </c>
      <c r="J105" s="240">
        <f t="shared" si="9"/>
        <v>0</v>
      </c>
      <c r="K105" s="240">
        <f t="shared" si="9"/>
        <v>0</v>
      </c>
      <c r="L105" s="240">
        <f t="shared" si="9"/>
        <v>0</v>
      </c>
      <c r="M105" s="240">
        <f t="shared" si="9"/>
        <v>0</v>
      </c>
      <c r="N105" s="240">
        <f t="shared" si="9"/>
        <v>0</v>
      </c>
      <c r="O105" s="240">
        <f t="shared" si="9"/>
        <v>0</v>
      </c>
      <c r="P105" s="240">
        <f t="shared" si="9"/>
        <v>0</v>
      </c>
    </row>
    <row r="106" s="6" customFormat="1" ht="13.5" spans="5:16"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</row>
    <row r="107" spans="9:14">
      <c r="I107" s="68"/>
      <c r="N107" s="68"/>
    </row>
    <row r="108" spans="7:16">
      <c r="G108" s="68"/>
      <c r="J108" s="240"/>
      <c r="P108" s="242"/>
    </row>
    <row r="109" spans="16:16">
      <c r="P109" s="242"/>
    </row>
    <row r="110" s="6" customFormat="1" ht="12" spans="4:4">
      <c r="D110" s="241"/>
    </row>
  </sheetData>
  <autoFilter ref="B5:P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106:P106">
    <cfRule type="cellIs" dxfId="0" priority="1" stopIfTrue="1" operator="equal">
      <formula>"no"</formula>
    </cfRule>
  </conditionalFormatting>
  <conditionalFormatting sqref="J108">
    <cfRule type="cellIs" dxfId="0" priority="2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323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19606.32</v>
      </c>
      <c r="E6" s="21">
        <v>25126.64</v>
      </c>
      <c r="F6" s="21">
        <v>21903.92</v>
      </c>
      <c r="G6" s="21">
        <v>24872.64</v>
      </c>
      <c r="H6" s="21"/>
      <c r="I6" s="21"/>
      <c r="J6" s="21"/>
      <c r="K6" s="21"/>
      <c r="L6" s="21"/>
      <c r="M6" s="21"/>
      <c r="N6" s="21"/>
      <c r="O6" s="21"/>
      <c r="P6" s="47">
        <f>SUM(D6:O6)</f>
        <v>91509.52</v>
      </c>
      <c r="Q6" s="48">
        <f>P6+P7+P8+P19+P22+P23+P24+P25+P26</f>
        <v>99077.67</v>
      </c>
    </row>
    <row r="7" s="5" customFormat="1" ht="17.25" customHeight="1" spans="1:16">
      <c r="A7" s="199"/>
      <c r="B7" s="23"/>
      <c r="C7" s="20" t="s">
        <v>71</v>
      </c>
      <c r="D7" s="21">
        <v>1083</v>
      </c>
      <c r="E7" s="21">
        <v>1083</v>
      </c>
      <c r="F7" s="21">
        <v>1083</v>
      </c>
      <c r="G7" s="21">
        <v>1083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4332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>
        <v>0</v>
      </c>
      <c r="F14" s="21">
        <v>0</v>
      </c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>
        <v>0</v>
      </c>
      <c r="F16" s="21">
        <v>0</v>
      </c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>
        <v>0</v>
      </c>
      <c r="F18" s="21">
        <v>0</v>
      </c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>
        <v>0</v>
      </c>
      <c r="F19" s="21">
        <v>300</v>
      </c>
      <c r="G19" s="21">
        <v>450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750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965.44</v>
      </c>
      <c r="E22" s="21">
        <v>965.44</v>
      </c>
      <c r="F22" s="21">
        <v>-965.44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965.44</v>
      </c>
    </row>
    <row r="23" s="5" customFormat="1" ht="17.25" customHeight="1" spans="1:16">
      <c r="A23" s="199"/>
      <c r="B23" s="24"/>
      <c r="C23" s="25" t="s">
        <v>89</v>
      </c>
      <c r="D23" s="21">
        <v>30.17</v>
      </c>
      <c r="E23" s="21">
        <v>30.17</v>
      </c>
      <c r="F23" s="21">
        <v>-30.17</v>
      </c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30.17</v>
      </c>
    </row>
    <row r="24" s="5" customFormat="1" ht="17.25" customHeight="1" spans="1:16">
      <c r="A24" s="199"/>
      <c r="B24" s="24"/>
      <c r="C24" s="25" t="s">
        <v>90</v>
      </c>
      <c r="D24" s="21">
        <v>39.22</v>
      </c>
      <c r="E24" s="21">
        <v>39.22</v>
      </c>
      <c r="F24" s="21">
        <v>-39.22</v>
      </c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39.22</v>
      </c>
    </row>
    <row r="25" s="5" customFormat="1" ht="17.25" customHeight="1" spans="1:16">
      <c r="A25" s="199"/>
      <c r="B25" s="24"/>
      <c r="C25" s="25" t="s">
        <v>91</v>
      </c>
      <c r="D25" s="21">
        <v>680.48</v>
      </c>
      <c r="E25" s="21">
        <v>680.48</v>
      </c>
      <c r="F25" s="21">
        <v>-240</v>
      </c>
      <c r="G25" s="21">
        <v>330.36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1451.32</v>
      </c>
    </row>
    <row r="26" s="5" customFormat="1" ht="17.25" customHeight="1" spans="1:16">
      <c r="A26" s="199"/>
      <c r="B26" s="23"/>
      <c r="C26" s="25" t="s">
        <v>92</v>
      </c>
      <c r="D26" s="21"/>
      <c r="E26" s="21">
        <v>0</v>
      </c>
      <c r="F26" s="21">
        <v>0</v>
      </c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>
        <v>0</v>
      </c>
      <c r="F29" s="21">
        <v>0</v>
      </c>
      <c r="G29" s="21">
        <v>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/>
      <c r="E34" s="21">
        <v>0</v>
      </c>
      <c r="F34" s="21">
        <v>0</v>
      </c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02"/>
      <c r="B35" s="23"/>
      <c r="C35" s="25" t="s">
        <v>105</v>
      </c>
      <c r="D35" s="21"/>
      <c r="E35" s="21">
        <v>0</v>
      </c>
      <c r="F35" s="21">
        <v>0</v>
      </c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670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670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/>
      <c r="E37" s="21">
        <v>0</v>
      </c>
      <c r="F37" s="21">
        <v>1490</v>
      </c>
      <c r="G37" s="21">
        <v>500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1990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>
        <v>0</v>
      </c>
      <c r="F39" s="21">
        <v>0</v>
      </c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>
        <v>0</v>
      </c>
      <c r="F41" s="21">
        <v>0</v>
      </c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>
        <v>0</v>
      </c>
      <c r="F42" s="21">
        <v>0</v>
      </c>
      <c r="G42" s="21">
        <v>0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>
        <v>0</v>
      </c>
      <c r="F43" s="21">
        <v>0</v>
      </c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>
        <v>0</v>
      </c>
      <c r="F44" s="21">
        <v>0</v>
      </c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>
        <v>0</v>
      </c>
      <c r="F45" s="21">
        <v>0</v>
      </c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35.49</v>
      </c>
      <c r="E46" s="21">
        <v>35.49</v>
      </c>
      <c r="F46" s="21">
        <v>35.49</v>
      </c>
      <c r="G46" s="21">
        <v>35.49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141.96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>
        <v>0</v>
      </c>
      <c r="F47" s="21">
        <v>0</v>
      </c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>
        <v>0</v>
      </c>
      <c r="F48" s="21">
        <v>0</v>
      </c>
      <c r="G48" s="21">
        <v>0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>
        <v>0</v>
      </c>
      <c r="F49" s="21">
        <v>0</v>
      </c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>
        <v>0</v>
      </c>
      <c r="F51" s="21">
        <v>0</v>
      </c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>
        <v>0</v>
      </c>
      <c r="F52" s="21">
        <v>0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>
        <v>0</v>
      </c>
      <c r="F53" s="21">
        <v>0</v>
      </c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>
        <v>0</v>
      </c>
      <c r="F54" s="21">
        <v>0</v>
      </c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>
        <v>0</v>
      </c>
      <c r="F55" s="21">
        <v>0</v>
      </c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>
        <v>0</v>
      </c>
      <c r="F56" s="21">
        <v>0</v>
      </c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>
        <v>0</v>
      </c>
      <c r="F57" s="21">
        <v>0</v>
      </c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>
        <v>0</v>
      </c>
      <c r="F58" s="21">
        <v>0</v>
      </c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>
        <v>0</v>
      </c>
      <c r="F59" s="21">
        <v>0</v>
      </c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>
        <v>0</v>
      </c>
      <c r="F60" s="21">
        <v>0</v>
      </c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>
        <v>0</v>
      </c>
      <c r="F61" s="21">
        <v>0</v>
      </c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>
        <v>0</v>
      </c>
      <c r="F62" s="21">
        <v>0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>
        <v>0</v>
      </c>
      <c r="F63" s="21">
        <v>0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>
        <v>0</v>
      </c>
      <c r="F64" s="21">
        <v>0</v>
      </c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>
        <v>0</v>
      </c>
      <c r="F65" s="21">
        <v>0</v>
      </c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>
        <v>0</v>
      </c>
      <c r="F66" s="21">
        <v>0</v>
      </c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>
        <v>0</v>
      </c>
      <c r="F67" s="21">
        <v>0</v>
      </c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>
        <v>0</v>
      </c>
      <c r="F68" s="21">
        <v>0</v>
      </c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76955.05</v>
      </c>
      <c r="E69" s="21">
        <v>37276.88</v>
      </c>
      <c r="F69" s="21">
        <v>123680.92</v>
      </c>
      <c r="G69" s="21">
        <v>112512.2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350425.05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674.57</v>
      </c>
      <c r="E70" s="21">
        <v>0</v>
      </c>
      <c r="F70" s="21">
        <v>0</v>
      </c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674.57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>
        <v>0</v>
      </c>
      <c r="F71" s="21">
        <v>0</v>
      </c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>
        <v>0</v>
      </c>
      <c r="F72" s="21">
        <v>0</v>
      </c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>
        <v>0</v>
      </c>
      <c r="F73" s="21">
        <v>0</v>
      </c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>
        <v>0</v>
      </c>
      <c r="F74" s="21">
        <v>0</v>
      </c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>
        <v>0</v>
      </c>
      <c r="F75" s="21">
        <v>0</v>
      </c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>
        <v>0</v>
      </c>
      <c r="F77" s="21">
        <v>0</v>
      </c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>
        <v>0</v>
      </c>
      <c r="F78" s="21">
        <v>0</v>
      </c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>
        <v>0</v>
      </c>
      <c r="F79" s="21">
        <v>0</v>
      </c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>
        <v>0</v>
      </c>
      <c r="F80" s="21">
        <v>0</v>
      </c>
      <c r="G80" s="21">
        <v>0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>
        <v>0</v>
      </c>
      <c r="F86" s="21">
        <v>0</v>
      </c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>
        <v>0</v>
      </c>
      <c r="F90" s="21">
        <v>0</v>
      </c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>
        <v>0</v>
      </c>
      <c r="F92" s="21">
        <v>0</v>
      </c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100069.74</v>
      </c>
      <c r="E93" s="58">
        <f t="shared" ref="E93:P93" si="2">SUM(E6:E92)</f>
        <v>65237.32</v>
      </c>
      <c r="F93" s="58">
        <f t="shared" si="2"/>
        <v>147218.5</v>
      </c>
      <c r="G93" s="58">
        <f>SUM(G6:G92)</f>
        <v>140453.69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452979.25</v>
      </c>
    </row>
    <row r="94" s="7" customFormat="1" ht="15" customHeight="1" spans="1:16">
      <c r="A94" s="243" t="s">
        <v>176</v>
      </c>
      <c r="B94" s="244"/>
      <c r="C94" s="245"/>
      <c r="D94" s="246"/>
      <c r="E94" s="246"/>
      <c r="F94" s="247"/>
      <c r="G94" s="247"/>
      <c r="H94" s="236"/>
      <c r="I94" s="236"/>
      <c r="J94" s="236"/>
      <c r="K94" s="236"/>
      <c r="L94" s="236"/>
      <c r="M94" s="236"/>
      <c r="N94" s="236"/>
      <c r="O94" s="236"/>
      <c r="P94" s="58">
        <f>SUM(D94:O94)</f>
        <v>0</v>
      </c>
    </row>
    <row r="95" s="7" customFormat="1" ht="15" customHeight="1" spans="1:16">
      <c r="A95" s="243"/>
      <c r="B95" s="248" t="s">
        <v>308</v>
      </c>
      <c r="C95" s="245"/>
      <c r="D95" s="246"/>
      <c r="E95" s="246"/>
      <c r="F95" s="246"/>
      <c r="G95" s="246">
        <f>+G94</f>
        <v>0</v>
      </c>
      <c r="H95" s="236"/>
      <c r="I95" s="236"/>
      <c r="J95" s="236"/>
      <c r="K95" s="236"/>
      <c r="L95" s="236"/>
      <c r="M95" s="236"/>
      <c r="N95" s="236"/>
      <c r="O95" s="236"/>
      <c r="P95" s="58">
        <f t="shared" ref="P95:P103" si="3">SUM(D95:O95)</f>
        <v>0</v>
      </c>
    </row>
    <row r="96" s="7" customFormat="1" ht="15" customHeight="1" spans="1:16">
      <c r="A96" s="243" t="s">
        <v>177</v>
      </c>
      <c r="B96" s="244"/>
      <c r="C96" s="245"/>
      <c r="D96" s="246"/>
      <c r="E96" s="246"/>
      <c r="F96" s="247"/>
      <c r="G96" s="247"/>
      <c r="H96" s="236"/>
      <c r="I96" s="236"/>
      <c r="J96" s="236"/>
      <c r="K96" s="236"/>
      <c r="L96" s="236"/>
      <c r="M96" s="236"/>
      <c r="N96" s="236"/>
      <c r="O96" s="236"/>
      <c r="P96" s="58">
        <f t="shared" si="3"/>
        <v>0</v>
      </c>
    </row>
    <row r="97" s="7" customFormat="1" ht="15" customHeight="1" spans="1:16">
      <c r="A97" s="243"/>
      <c r="B97" s="248" t="s">
        <v>308</v>
      </c>
      <c r="C97" s="245"/>
      <c r="D97" s="246"/>
      <c r="E97" s="246"/>
      <c r="F97" s="246"/>
      <c r="G97" s="246">
        <f t="shared" ref="G97" si="4">+G96</f>
        <v>0</v>
      </c>
      <c r="H97" s="236"/>
      <c r="I97" s="236"/>
      <c r="J97" s="236"/>
      <c r="K97" s="236"/>
      <c r="L97" s="236"/>
      <c r="M97" s="236"/>
      <c r="N97" s="236"/>
      <c r="O97" s="236"/>
      <c r="P97" s="58">
        <f t="shared" si="3"/>
        <v>0</v>
      </c>
    </row>
    <row r="98" s="7" customFormat="1" ht="15" customHeight="1" spans="1:16">
      <c r="A98" s="243" t="s">
        <v>309</v>
      </c>
      <c r="B98" s="244"/>
      <c r="C98" s="245"/>
      <c r="D98" s="246">
        <f>D93</f>
        <v>100069.74</v>
      </c>
      <c r="E98" s="246">
        <f>E93</f>
        <v>65237.32</v>
      </c>
      <c r="F98" s="247">
        <f>F93</f>
        <v>147218.5</v>
      </c>
      <c r="G98" s="247">
        <f>G93</f>
        <v>140453.69</v>
      </c>
      <c r="H98" s="236"/>
      <c r="I98" s="236"/>
      <c r="J98" s="236"/>
      <c r="K98" s="236"/>
      <c r="L98" s="236"/>
      <c r="M98" s="236"/>
      <c r="N98" s="236"/>
      <c r="O98" s="236"/>
      <c r="P98" s="58">
        <f t="shared" si="3"/>
        <v>452979.25</v>
      </c>
    </row>
    <row r="99" s="7" customFormat="1" ht="15" customHeight="1" spans="1:16">
      <c r="A99" s="243"/>
      <c r="B99" s="248" t="s">
        <v>308</v>
      </c>
      <c r="C99" s="245"/>
      <c r="D99" s="246">
        <f t="shared" ref="D99:G99" si="5">D69</f>
        <v>76955.05</v>
      </c>
      <c r="E99" s="246">
        <f t="shared" si="5"/>
        <v>37276.88</v>
      </c>
      <c r="F99" s="246">
        <f t="shared" si="5"/>
        <v>123680.92</v>
      </c>
      <c r="G99" s="246">
        <f t="shared" si="5"/>
        <v>112512.2</v>
      </c>
      <c r="H99" s="236"/>
      <c r="I99" s="236"/>
      <c r="J99" s="236"/>
      <c r="K99" s="236"/>
      <c r="L99" s="236"/>
      <c r="M99" s="236"/>
      <c r="N99" s="236"/>
      <c r="O99" s="236"/>
      <c r="P99" s="58">
        <f t="shared" si="3"/>
        <v>350425.05</v>
      </c>
    </row>
    <row r="100" s="7" customFormat="1" ht="15" customHeight="1" spans="1:16">
      <c r="A100" s="243" t="s">
        <v>179</v>
      </c>
      <c r="B100" s="244"/>
      <c r="C100" s="245"/>
      <c r="D100" s="246"/>
      <c r="E100" s="246"/>
      <c r="F100" s="247"/>
      <c r="G100" s="247"/>
      <c r="H100" s="47">
        <f t="shared" ref="H100:O100" si="6">H69+H68</f>
        <v>0</v>
      </c>
      <c r="I100" s="47">
        <f t="shared" si="6"/>
        <v>0</v>
      </c>
      <c r="J100" s="47">
        <f t="shared" si="6"/>
        <v>0</v>
      </c>
      <c r="K100" s="47">
        <f t="shared" si="6"/>
        <v>0</v>
      </c>
      <c r="L100" s="47">
        <f t="shared" si="6"/>
        <v>0</v>
      </c>
      <c r="M100" s="47">
        <f t="shared" si="6"/>
        <v>0</v>
      </c>
      <c r="N100" s="47">
        <f t="shared" si="6"/>
        <v>0</v>
      </c>
      <c r="O100" s="47">
        <f t="shared" si="6"/>
        <v>0</v>
      </c>
      <c r="P100" s="58">
        <f t="shared" si="3"/>
        <v>0</v>
      </c>
    </row>
    <row r="101" s="7" customFormat="1" ht="15" customHeight="1" spans="1:16">
      <c r="A101" s="243"/>
      <c r="B101" s="248" t="s">
        <v>308</v>
      </c>
      <c r="C101" s="245"/>
      <c r="D101" s="246">
        <f>+D100</f>
        <v>0</v>
      </c>
      <c r="E101" s="246">
        <f t="shared" ref="E101:G101" si="7">+E100</f>
        <v>0</v>
      </c>
      <c r="F101" s="246">
        <f t="shared" si="7"/>
        <v>0</v>
      </c>
      <c r="G101" s="246">
        <f t="shared" si="7"/>
        <v>0</v>
      </c>
      <c r="H101" s="236"/>
      <c r="I101" s="236"/>
      <c r="J101" s="236"/>
      <c r="K101" s="236"/>
      <c r="L101" s="236"/>
      <c r="M101" s="236"/>
      <c r="N101" s="236"/>
      <c r="O101" s="236"/>
      <c r="P101" s="58">
        <f t="shared" si="3"/>
        <v>0</v>
      </c>
    </row>
    <row r="102" s="7" customFormat="1" ht="15" customHeight="1" spans="1:16">
      <c r="A102" s="243" t="s">
        <v>180</v>
      </c>
      <c r="B102" s="244"/>
      <c r="C102" s="245"/>
      <c r="D102" s="246"/>
      <c r="E102" s="246"/>
      <c r="F102" s="246"/>
      <c r="G102" s="246">
        <f>G93-G94-G96-G98</f>
        <v>0</v>
      </c>
      <c r="H102" s="236"/>
      <c r="I102" s="236"/>
      <c r="J102" s="236"/>
      <c r="K102" s="236"/>
      <c r="L102" s="236"/>
      <c r="M102" s="236"/>
      <c r="N102" s="236"/>
      <c r="O102" s="236"/>
      <c r="P102" s="58">
        <f t="shared" si="3"/>
        <v>0</v>
      </c>
    </row>
    <row r="103" s="7" customFormat="1" ht="15" customHeight="1" spans="1:16">
      <c r="A103" s="243"/>
      <c r="B103" s="248" t="s">
        <v>308</v>
      </c>
      <c r="C103" s="245"/>
      <c r="D103" s="246">
        <v>0</v>
      </c>
      <c r="E103" s="246">
        <v>0</v>
      </c>
      <c r="F103" s="246">
        <v>0</v>
      </c>
      <c r="G103" s="246">
        <v>0</v>
      </c>
      <c r="H103" s="47"/>
      <c r="I103" s="47"/>
      <c r="J103" s="47"/>
      <c r="K103" s="47"/>
      <c r="L103" s="47"/>
      <c r="M103" s="47"/>
      <c r="N103" s="47"/>
      <c r="O103" s="47"/>
      <c r="P103" s="58">
        <f t="shared" si="3"/>
        <v>0</v>
      </c>
    </row>
    <row r="104" s="190" customFormat="1" ht="15" customHeight="1" spans="1:7">
      <c r="A104" s="190" t="s">
        <v>181</v>
      </c>
      <c r="E104" s="6"/>
      <c r="F104" s="238"/>
      <c r="G104" s="190" t="s">
        <v>324</v>
      </c>
    </row>
    <row r="105" ht="19.5" customHeight="1" spans="1:16">
      <c r="A105" s="190"/>
      <c r="D105" s="240">
        <f>D98-D93</f>
        <v>0</v>
      </c>
      <c r="E105" s="240">
        <f t="shared" ref="E105:P105" si="8">E98-E93</f>
        <v>0</v>
      </c>
      <c r="F105" s="240">
        <f t="shared" si="8"/>
        <v>0</v>
      </c>
      <c r="G105" s="240">
        <f t="shared" si="8"/>
        <v>0</v>
      </c>
      <c r="H105" s="240">
        <f t="shared" si="8"/>
        <v>0</v>
      </c>
      <c r="I105" s="240">
        <f t="shared" si="8"/>
        <v>0</v>
      </c>
      <c r="J105" s="240">
        <f t="shared" si="8"/>
        <v>0</v>
      </c>
      <c r="K105" s="240">
        <f t="shared" si="8"/>
        <v>0</v>
      </c>
      <c r="L105" s="240">
        <f t="shared" si="8"/>
        <v>0</v>
      </c>
      <c r="M105" s="240">
        <f t="shared" si="8"/>
        <v>0</v>
      </c>
      <c r="N105" s="240">
        <f t="shared" si="8"/>
        <v>0</v>
      </c>
      <c r="O105" s="240">
        <f t="shared" si="8"/>
        <v>0</v>
      </c>
      <c r="P105" s="240">
        <f t="shared" si="8"/>
        <v>0</v>
      </c>
    </row>
    <row r="106" s="6" customFormat="1" ht="13.5" spans="4:16">
      <c r="D106" s="240">
        <f t="shared" ref="D106:P106" si="9">D99-D68-D69</f>
        <v>0</v>
      </c>
      <c r="E106" s="240">
        <f t="shared" si="9"/>
        <v>0</v>
      </c>
      <c r="F106" s="240">
        <f t="shared" si="9"/>
        <v>0</v>
      </c>
      <c r="G106" s="240">
        <f t="shared" si="9"/>
        <v>0</v>
      </c>
      <c r="H106" s="240">
        <f t="shared" si="9"/>
        <v>0</v>
      </c>
      <c r="I106" s="240">
        <f t="shared" si="9"/>
        <v>0</v>
      </c>
      <c r="J106" s="240">
        <f t="shared" si="9"/>
        <v>0</v>
      </c>
      <c r="K106" s="240">
        <f t="shared" si="9"/>
        <v>0</v>
      </c>
      <c r="L106" s="240">
        <f t="shared" si="9"/>
        <v>0</v>
      </c>
      <c r="M106" s="240">
        <f t="shared" si="9"/>
        <v>0</v>
      </c>
      <c r="N106" s="240">
        <f t="shared" si="9"/>
        <v>0</v>
      </c>
      <c r="O106" s="240">
        <f t="shared" si="9"/>
        <v>0</v>
      </c>
      <c r="P106" s="240">
        <f t="shared" si="9"/>
        <v>0</v>
      </c>
    </row>
    <row r="107" spans="9:14">
      <c r="I107" s="68"/>
      <c r="N107" s="68"/>
    </row>
    <row r="108" spans="7:16">
      <c r="G108" s="68"/>
      <c r="P108" s="242">
        <v>26781378.54</v>
      </c>
    </row>
    <row r="109" spans="16:16">
      <c r="P109" s="242">
        <f>P108-P93</f>
        <v>26328399.29</v>
      </c>
    </row>
    <row r="110" s="6" customFormat="1" ht="12" spans="4:4">
      <c r="D110" s="241"/>
    </row>
  </sheetData>
  <autoFilter ref="B5:P106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6:P106">
    <cfRule type="cellIs" dxfId="0" priority="1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325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6079.88</v>
      </c>
      <c r="E6" s="21">
        <v>1719.21</v>
      </c>
      <c r="F6" s="21">
        <v>21015.65</v>
      </c>
      <c r="G6" s="21">
        <v>55006.82</v>
      </c>
      <c r="H6" s="21"/>
      <c r="I6" s="21"/>
      <c r="J6" s="21"/>
      <c r="K6" s="21"/>
      <c r="L6" s="21"/>
      <c r="M6" s="21"/>
      <c r="N6" s="21"/>
      <c r="O6" s="21"/>
      <c r="P6" s="47">
        <f>SUM(D6:O6)</f>
        <v>83821.56</v>
      </c>
      <c r="Q6" s="48">
        <f>P6+P7+P8+P19+P22+P23+P24+P25+P26</f>
        <v>97726.25</v>
      </c>
    </row>
    <row r="7" s="5" customFormat="1" ht="17.25" customHeight="1" spans="1:16">
      <c r="A7" s="199"/>
      <c r="B7" s="23"/>
      <c r="C7" s="20" t="s">
        <v>71</v>
      </c>
      <c r="D7" s="21">
        <v>186.54</v>
      </c>
      <c r="E7" s="21">
        <v>2083</v>
      </c>
      <c r="F7" s="21">
        <v>3283</v>
      </c>
      <c r="G7" s="21">
        <v>3283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8835.54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/>
      <c r="F8" s="21">
        <v>0</v>
      </c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/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/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/>
      <c r="F11" s="21">
        <v>0</v>
      </c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/>
      <c r="F12" s="21">
        <v>0</v>
      </c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/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/>
      <c r="F14" s="21">
        <v>0</v>
      </c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/>
      <c r="F15" s="21">
        <v>0</v>
      </c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/>
      <c r="F16" s="21">
        <v>0</v>
      </c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199"/>
      <c r="B17" s="24"/>
      <c r="C17" s="25" t="s">
        <v>82</v>
      </c>
      <c r="D17" s="21"/>
      <c r="E17" s="21"/>
      <c r="F17" s="21">
        <v>0</v>
      </c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/>
      <c r="F18" s="21">
        <v>0</v>
      </c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/>
      <c r="F19" s="21">
        <v>300</v>
      </c>
      <c r="G19" s="21">
        <v>1512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1812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/>
      <c r="F20" s="21">
        <v>0</v>
      </c>
      <c r="G20" s="21">
        <v>16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16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/>
      <c r="F21" s="21">
        <v>0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965.44</v>
      </c>
      <c r="E22" s="21">
        <v>965.44</v>
      </c>
      <c r="F22" s="21">
        <v>-965.44</v>
      </c>
      <c r="G22" s="21">
        <v>620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1585.44</v>
      </c>
    </row>
    <row r="23" s="5" customFormat="1" ht="17.25" customHeight="1" spans="1:16">
      <c r="A23" s="199"/>
      <c r="B23" s="24"/>
      <c r="C23" s="25" t="s">
        <v>89</v>
      </c>
      <c r="D23" s="21">
        <v>30.18</v>
      </c>
      <c r="E23" s="21">
        <v>30.18</v>
      </c>
      <c r="F23" s="21">
        <v>-30.18</v>
      </c>
      <c r="G23" s="21">
        <v>20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50.18</v>
      </c>
    </row>
    <row r="24" s="5" customFormat="1" ht="17.25" customHeight="1" spans="1:16">
      <c r="A24" s="199"/>
      <c r="B24" s="24"/>
      <c r="C24" s="25" t="s">
        <v>90</v>
      </c>
      <c r="D24" s="21">
        <v>59.13</v>
      </c>
      <c r="E24" s="21">
        <v>59.13</v>
      </c>
      <c r="F24" s="21">
        <v>-59.13</v>
      </c>
      <c r="G24" s="21">
        <v>51.2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110.33</v>
      </c>
    </row>
    <row r="25" s="5" customFormat="1" ht="17.25" customHeight="1" spans="1:16">
      <c r="A25" s="199"/>
      <c r="B25" s="24"/>
      <c r="C25" s="25" t="s">
        <v>91</v>
      </c>
      <c r="D25" s="21">
        <v>680.48</v>
      </c>
      <c r="E25" s="21">
        <v>440.48</v>
      </c>
      <c r="F25" s="21">
        <v>0</v>
      </c>
      <c r="G25" s="21">
        <v>390.24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1511.2</v>
      </c>
    </row>
    <row r="26" s="5" customFormat="1" ht="17.25" customHeight="1" spans="1:16">
      <c r="A26" s="199"/>
      <c r="B26" s="23"/>
      <c r="C26" s="25" t="s">
        <v>92</v>
      </c>
      <c r="D26" s="21"/>
      <c r="E26" s="21" t="s">
        <v>324</v>
      </c>
      <c r="F26" s="21">
        <v>0</v>
      </c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 t="s">
        <v>324</v>
      </c>
      <c r="F27" s="21">
        <v>0</v>
      </c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 t="s">
        <v>324</v>
      </c>
      <c r="F28" s="21">
        <v>100</v>
      </c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100</v>
      </c>
    </row>
    <row r="29" s="5" customFormat="1" ht="17.25" customHeight="1" spans="1:16">
      <c r="A29" s="202"/>
      <c r="B29" s="23"/>
      <c r="C29" s="20" t="s">
        <v>97</v>
      </c>
      <c r="D29" s="21"/>
      <c r="E29" s="21"/>
      <c r="F29" s="21">
        <v>0</v>
      </c>
      <c r="G29" s="21">
        <v>2000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2000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/>
      <c r="F30" s="21">
        <v>0</v>
      </c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/>
      <c r="F31" s="21">
        <v>0</v>
      </c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02"/>
      <c r="B32" s="24"/>
      <c r="C32" s="25" t="s">
        <v>101</v>
      </c>
      <c r="D32" s="21"/>
      <c r="E32" s="21"/>
      <c r="F32" s="21">
        <v>0</v>
      </c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/>
      <c r="F33" s="21">
        <v>0</v>
      </c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-4221</v>
      </c>
      <c r="E34" s="21"/>
      <c r="F34" s="21">
        <v>370.49</v>
      </c>
      <c r="G34" s="21">
        <v>3400.31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-450.2</v>
      </c>
    </row>
    <row r="35" s="5" customFormat="1" ht="17.25" customHeight="1" spans="1:16">
      <c r="A35" s="202"/>
      <c r="B35" s="23"/>
      <c r="C35" s="25" t="s">
        <v>105</v>
      </c>
      <c r="D35" s="21"/>
      <c r="E35" s="21"/>
      <c r="F35" s="21">
        <v>0</v>
      </c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/>
      <c r="F36" s="21">
        <v>796.46</v>
      </c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796.46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6320</v>
      </c>
      <c r="E37" s="21"/>
      <c r="F37" s="21">
        <v>330</v>
      </c>
      <c r="G37" s="21">
        <v>172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6822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/>
      <c r="F38" s="21">
        <v>0</v>
      </c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>
        <v>609.87</v>
      </c>
      <c r="E39" s="21"/>
      <c r="F39" s="21">
        <v>0</v>
      </c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609.87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/>
      <c r="F40" s="21">
        <v>0</v>
      </c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/>
      <c r="E41" s="21" t="s">
        <v>324</v>
      </c>
      <c r="F41" s="21">
        <v>0</v>
      </c>
      <c r="G41" s="21">
        <v>0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/>
      <c r="E42" s="21" t="s">
        <v>324</v>
      </c>
      <c r="F42" s="21">
        <v>0</v>
      </c>
      <c r="G42" s="21">
        <v>0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/>
      <c r="E43" s="21" t="s">
        <v>324</v>
      </c>
      <c r="F43" s="21">
        <v>0</v>
      </c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 t="s">
        <v>324</v>
      </c>
      <c r="F44" s="21">
        <v>0</v>
      </c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 t="s">
        <v>324</v>
      </c>
      <c r="F45" s="21">
        <v>0</v>
      </c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227.66</v>
      </c>
      <c r="E46" s="21">
        <v>227.66</v>
      </c>
      <c r="F46" s="21">
        <v>227.66</v>
      </c>
      <c r="G46" s="21">
        <v>227.66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910.64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 t="s">
        <v>324</v>
      </c>
      <c r="F47" s="21">
        <v>0</v>
      </c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/>
      <c r="E48" s="21" t="s">
        <v>324</v>
      </c>
      <c r="F48" s="21">
        <v>0</v>
      </c>
      <c r="G48" s="21">
        <v>0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 t="s">
        <v>324</v>
      </c>
      <c r="F49" s="21">
        <v>0</v>
      </c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 t="s">
        <v>324</v>
      </c>
      <c r="F50" s="21">
        <v>0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 t="s">
        <v>324</v>
      </c>
      <c r="F51" s="21">
        <v>0</v>
      </c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 t="s">
        <v>324</v>
      </c>
      <c r="F52" s="21">
        <v>0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 t="s">
        <v>324</v>
      </c>
      <c r="F53" s="21">
        <v>0</v>
      </c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 t="s">
        <v>324</v>
      </c>
      <c r="F54" s="21">
        <v>0</v>
      </c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 t="s">
        <v>324</v>
      </c>
      <c r="F55" s="21">
        <v>0</v>
      </c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 t="s">
        <v>324</v>
      </c>
      <c r="F56" s="21">
        <v>0</v>
      </c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 t="s">
        <v>324</v>
      </c>
      <c r="F57" s="21">
        <v>0</v>
      </c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 t="s">
        <v>324</v>
      </c>
      <c r="F58" s="21">
        <v>0</v>
      </c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 t="s">
        <v>324</v>
      </c>
      <c r="F59" s="21">
        <v>0</v>
      </c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 t="s">
        <v>324</v>
      </c>
      <c r="F60" s="21">
        <v>0</v>
      </c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>
        <v>1004.75</v>
      </c>
      <c r="E61" s="21" t="s">
        <v>324</v>
      </c>
      <c r="F61" s="21">
        <v>0</v>
      </c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1004.75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 t="s">
        <v>324</v>
      </c>
      <c r="F62" s="21">
        <v>0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 t="s">
        <v>324</v>
      </c>
      <c r="F63" s="21">
        <v>0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 t="s">
        <v>324</v>
      </c>
      <c r="F64" s="21">
        <v>0</v>
      </c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 t="s">
        <v>324</v>
      </c>
      <c r="F65" s="21">
        <v>0</v>
      </c>
      <c r="G65" s="21">
        <v>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 t="s">
        <v>324</v>
      </c>
      <c r="F66" s="21">
        <v>0</v>
      </c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 t="s">
        <v>324</v>
      </c>
      <c r="F67" s="21">
        <v>0</v>
      </c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/>
      <c r="E68" s="21"/>
      <c r="F68" s="21">
        <v>0</v>
      </c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217"/>
      <c r="B69" s="39"/>
      <c r="C69" s="207" t="s">
        <v>146</v>
      </c>
      <c r="D69" s="21">
        <v>135024.79</v>
      </c>
      <c r="E69" s="21">
        <v>72592.8</v>
      </c>
      <c r="F69" s="21">
        <v>235089.29</v>
      </c>
      <c r="G69" s="21">
        <v>161087.54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603794.42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>
        <v>1968.72</v>
      </c>
      <c r="E70" s="21">
        <v>0</v>
      </c>
      <c r="F70" s="21">
        <v>1216.04</v>
      </c>
      <c r="G70" s="21">
        <v>9019.15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12203.91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/>
      <c r="F71" s="21">
        <v>0</v>
      </c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/>
      <c r="F72" s="21">
        <v>0</v>
      </c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/>
      <c r="F73" s="21">
        <v>0</v>
      </c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/>
      <c r="F74" s="21">
        <v>1145.28</v>
      </c>
      <c r="G74" s="21">
        <v>528.3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1673.58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/>
      <c r="F75" s="21">
        <v>3300</v>
      </c>
      <c r="G75" s="21">
        <v>200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3500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/>
      <c r="F76" s="21">
        <v>0</v>
      </c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/>
      <c r="F77" s="21">
        <v>0</v>
      </c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/>
      <c r="F78" s="21">
        <v>0</v>
      </c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/>
      <c r="F79" s="21">
        <v>0</v>
      </c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/>
      <c r="F80" s="21">
        <v>0</v>
      </c>
      <c r="G80" s="21">
        <v>0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/>
      <c r="F81" s="21">
        <v>0</v>
      </c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/>
      <c r="F82" s="21">
        <v>0</v>
      </c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/>
      <c r="F83" s="21">
        <v>0</v>
      </c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/>
      <c r="F84" s="21">
        <v>0</v>
      </c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/>
      <c r="F85" s="21">
        <v>0</v>
      </c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/>
      <c r="F86" s="21">
        <v>0</v>
      </c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/>
      <c r="F87" s="21">
        <v>0</v>
      </c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/>
      <c r="F88" s="21">
        <v>0</v>
      </c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/>
      <c r="F89" s="21">
        <v>0</v>
      </c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/>
      <c r="F90" s="21">
        <v>0</v>
      </c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/>
      <c r="F91" s="21">
        <v>0</v>
      </c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/>
      <c r="F92" s="21">
        <v>0</v>
      </c>
      <c r="G92" s="21">
        <v>0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0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148936.44</v>
      </c>
      <c r="E93" s="58">
        <f t="shared" ref="E93:P93" si="2">SUM(E6:E92)</f>
        <v>78117.9</v>
      </c>
      <c r="F93" s="58">
        <f t="shared" si="2"/>
        <v>266119.12</v>
      </c>
      <c r="G93" s="58">
        <f>SUM(G6:G92)</f>
        <v>237534.22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730707.68</v>
      </c>
    </row>
    <row r="94" s="7" customFormat="1" ht="15" customHeight="1" spans="1:16">
      <c r="A94" s="243" t="s">
        <v>176</v>
      </c>
      <c r="B94" s="244"/>
      <c r="C94" s="245"/>
      <c r="D94" s="246"/>
      <c r="E94" s="246"/>
      <c r="F94" s="247"/>
      <c r="G94" s="247"/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243"/>
      <c r="B95" s="248" t="s">
        <v>308</v>
      </c>
      <c r="C95" s="245"/>
      <c r="D95" s="246"/>
      <c r="E95" s="246"/>
      <c r="F95" s="246"/>
      <c r="G95" s="246">
        <f t="shared" ref="G95" si="3">+G94</f>
        <v>0</v>
      </c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4">SUM(D95:O95)</f>
        <v>0</v>
      </c>
    </row>
    <row r="96" s="7" customFormat="1" ht="15" customHeight="1" spans="1:16">
      <c r="A96" s="243" t="s">
        <v>177</v>
      </c>
      <c r="B96" s="244"/>
      <c r="C96" s="245"/>
      <c r="D96" s="246"/>
      <c r="E96" s="246"/>
      <c r="F96" s="247"/>
      <c r="G96" s="247"/>
      <c r="H96" s="236"/>
      <c r="I96" s="236"/>
      <c r="J96" s="236"/>
      <c r="K96" s="236"/>
      <c r="L96" s="236"/>
      <c r="M96" s="236"/>
      <c r="N96" s="236"/>
      <c r="O96" s="236"/>
      <c r="P96" s="47">
        <f t="shared" si="4"/>
        <v>0</v>
      </c>
    </row>
    <row r="97" s="7" customFormat="1" ht="15" customHeight="1" spans="1:16">
      <c r="A97" s="243"/>
      <c r="B97" s="248" t="s">
        <v>308</v>
      </c>
      <c r="C97" s="245"/>
      <c r="D97" s="246"/>
      <c r="E97" s="246"/>
      <c r="F97" s="246"/>
      <c r="G97" s="246"/>
      <c r="H97" s="236"/>
      <c r="I97" s="236"/>
      <c r="J97" s="236"/>
      <c r="K97" s="236"/>
      <c r="L97" s="236"/>
      <c r="M97" s="236"/>
      <c r="N97" s="236"/>
      <c r="O97" s="236"/>
      <c r="P97" s="47">
        <f t="shared" si="4"/>
        <v>0</v>
      </c>
    </row>
    <row r="98" s="7" customFormat="1" ht="15" customHeight="1" spans="1:16">
      <c r="A98" s="243" t="s">
        <v>309</v>
      </c>
      <c r="B98" s="244"/>
      <c r="C98" s="245"/>
      <c r="D98" s="246">
        <f>D93</f>
        <v>148936.44</v>
      </c>
      <c r="E98" s="246">
        <f t="shared" ref="E98:G98" si="5">E93</f>
        <v>78117.9</v>
      </c>
      <c r="F98" s="246">
        <f t="shared" si="5"/>
        <v>266119.12</v>
      </c>
      <c r="G98" s="246">
        <f t="shared" si="5"/>
        <v>237534.22</v>
      </c>
      <c r="H98" s="47">
        <f t="shared" ref="H98:O98" si="6">H93</f>
        <v>0</v>
      </c>
      <c r="I98" s="47">
        <f t="shared" si="6"/>
        <v>0</v>
      </c>
      <c r="J98" s="47">
        <f t="shared" si="6"/>
        <v>0</v>
      </c>
      <c r="K98" s="47">
        <f t="shared" si="6"/>
        <v>0</v>
      </c>
      <c r="L98" s="47">
        <f t="shared" si="6"/>
        <v>0</v>
      </c>
      <c r="M98" s="47">
        <f t="shared" si="6"/>
        <v>0</v>
      </c>
      <c r="N98" s="47">
        <f t="shared" si="6"/>
        <v>0</v>
      </c>
      <c r="O98" s="47">
        <f t="shared" si="6"/>
        <v>0</v>
      </c>
      <c r="P98" s="47">
        <f t="shared" si="4"/>
        <v>730707.68</v>
      </c>
    </row>
    <row r="99" s="7" customFormat="1" ht="15" customHeight="1" spans="1:16">
      <c r="A99" s="243"/>
      <c r="B99" s="248" t="s">
        <v>308</v>
      </c>
      <c r="C99" s="245"/>
      <c r="D99" s="246">
        <f>D69+D68</f>
        <v>135024.79</v>
      </c>
      <c r="E99" s="246">
        <f t="shared" ref="E99:O99" si="7">E69+E68</f>
        <v>72592.8</v>
      </c>
      <c r="F99" s="246">
        <f t="shared" si="7"/>
        <v>235089.29</v>
      </c>
      <c r="G99" s="246">
        <f t="shared" si="7"/>
        <v>161087.54</v>
      </c>
      <c r="H99" s="246">
        <f t="shared" si="7"/>
        <v>0</v>
      </c>
      <c r="I99" s="246">
        <f t="shared" si="7"/>
        <v>0</v>
      </c>
      <c r="J99" s="246">
        <f t="shared" si="7"/>
        <v>0</v>
      </c>
      <c r="K99" s="246">
        <f t="shared" si="7"/>
        <v>0</v>
      </c>
      <c r="L99" s="246">
        <f t="shared" si="7"/>
        <v>0</v>
      </c>
      <c r="M99" s="246">
        <f t="shared" si="7"/>
        <v>0</v>
      </c>
      <c r="N99" s="246">
        <f t="shared" si="7"/>
        <v>0</v>
      </c>
      <c r="O99" s="246">
        <f t="shared" si="7"/>
        <v>0</v>
      </c>
      <c r="P99" s="47"/>
    </row>
    <row r="100" s="7" customFormat="1" ht="15" customHeight="1" spans="1:16">
      <c r="A100" s="243" t="s">
        <v>179</v>
      </c>
      <c r="B100" s="244"/>
      <c r="C100" s="245"/>
      <c r="D100" s="246"/>
      <c r="E100" s="246"/>
      <c r="F100" s="247"/>
      <c r="G100" s="247"/>
      <c r="H100" s="47"/>
      <c r="I100" s="47"/>
      <c r="J100" s="47"/>
      <c r="K100" s="47"/>
      <c r="L100" s="47"/>
      <c r="M100" s="47"/>
      <c r="N100" s="47"/>
      <c r="O100" s="47"/>
      <c r="P100" s="47"/>
    </row>
    <row r="101" s="7" customFormat="1" ht="15" customHeight="1" spans="1:16">
      <c r="A101" s="243"/>
      <c r="B101" s="248" t="s">
        <v>308</v>
      </c>
      <c r="C101" s="245"/>
      <c r="D101" s="246"/>
      <c r="E101" s="246"/>
      <c r="F101" s="246"/>
      <c r="G101" s="246"/>
      <c r="H101" s="47"/>
      <c r="I101" s="47"/>
      <c r="J101" s="47"/>
      <c r="K101" s="47"/>
      <c r="L101" s="47"/>
      <c r="M101" s="47"/>
      <c r="N101" s="47"/>
      <c r="O101" s="47"/>
      <c r="P101" s="47">
        <f t="shared" si="4"/>
        <v>0</v>
      </c>
    </row>
    <row r="102" s="7" customFormat="1" ht="15" customHeight="1" spans="1:16">
      <c r="A102" s="243" t="s">
        <v>180</v>
      </c>
      <c r="B102" s="244"/>
      <c r="C102" s="245"/>
      <c r="D102" s="246"/>
      <c r="E102" s="246"/>
      <c r="F102" s="246"/>
      <c r="G102" s="246">
        <f t="shared" ref="G102" si="8">G93-G94-G96-G98</f>
        <v>0</v>
      </c>
      <c r="H102" s="236"/>
      <c r="I102" s="236"/>
      <c r="J102" s="236"/>
      <c r="K102" s="236"/>
      <c r="L102" s="236"/>
      <c r="M102" s="236"/>
      <c r="N102" s="236"/>
      <c r="O102" s="236"/>
      <c r="P102" s="47">
        <f t="shared" si="4"/>
        <v>0</v>
      </c>
    </row>
    <row r="103" s="7" customFormat="1" ht="15" customHeight="1" spans="1:16">
      <c r="A103" s="243"/>
      <c r="B103" s="248" t="s">
        <v>308</v>
      </c>
      <c r="C103" s="245"/>
      <c r="D103" s="47"/>
      <c r="E103" s="47"/>
      <c r="F103" s="47"/>
      <c r="G103" s="236"/>
      <c r="H103" s="236"/>
      <c r="I103" s="236"/>
      <c r="J103" s="236"/>
      <c r="K103" s="236"/>
      <c r="L103" s="236"/>
      <c r="M103" s="236"/>
      <c r="N103" s="236"/>
      <c r="O103" s="236"/>
      <c r="P103" s="47">
        <f t="shared" si="4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1:16">
      <c r="A105" s="190"/>
      <c r="D105" s="240">
        <f>D93-D98</f>
        <v>0</v>
      </c>
      <c r="E105" s="240">
        <f t="shared" ref="E105:P105" si="9">E93-E98</f>
        <v>0</v>
      </c>
      <c r="F105" s="240">
        <f t="shared" si="9"/>
        <v>0</v>
      </c>
      <c r="G105" s="240">
        <f t="shared" si="9"/>
        <v>0</v>
      </c>
      <c r="H105" s="240">
        <f t="shared" si="9"/>
        <v>0</v>
      </c>
      <c r="I105" s="240">
        <f t="shared" si="9"/>
        <v>0</v>
      </c>
      <c r="J105" s="240">
        <f t="shared" si="9"/>
        <v>0</v>
      </c>
      <c r="K105" s="240">
        <f t="shared" si="9"/>
        <v>0</v>
      </c>
      <c r="L105" s="240">
        <f t="shared" si="9"/>
        <v>0</v>
      </c>
      <c r="M105" s="240">
        <f t="shared" si="9"/>
        <v>0</v>
      </c>
      <c r="N105" s="240">
        <f t="shared" si="9"/>
        <v>0</v>
      </c>
      <c r="O105" s="240">
        <f t="shared" si="9"/>
        <v>0</v>
      </c>
      <c r="P105" s="240">
        <f t="shared" si="9"/>
        <v>0</v>
      </c>
    </row>
    <row r="106" s="6" customFormat="1" ht="12" spans="4:16">
      <c r="D106" s="157">
        <f>D99-D69-D68</f>
        <v>0</v>
      </c>
      <c r="E106" s="157">
        <f t="shared" ref="E106:P106" si="10">E99-E69-E68</f>
        <v>0</v>
      </c>
      <c r="F106" s="157">
        <f t="shared" si="10"/>
        <v>0</v>
      </c>
      <c r="G106" s="157">
        <f t="shared" si="10"/>
        <v>0</v>
      </c>
      <c r="H106" s="157">
        <f t="shared" si="10"/>
        <v>0</v>
      </c>
      <c r="I106" s="157">
        <f t="shared" si="10"/>
        <v>0</v>
      </c>
      <c r="J106" s="157">
        <f t="shared" si="10"/>
        <v>0</v>
      </c>
      <c r="K106" s="157">
        <f t="shared" si="10"/>
        <v>0</v>
      </c>
      <c r="L106" s="157">
        <f t="shared" si="10"/>
        <v>0</v>
      </c>
      <c r="M106" s="157">
        <f t="shared" si="10"/>
        <v>0</v>
      </c>
      <c r="N106" s="157">
        <f t="shared" si="10"/>
        <v>0</v>
      </c>
      <c r="O106" s="157">
        <f t="shared" si="10"/>
        <v>0</v>
      </c>
      <c r="P106" s="157">
        <f t="shared" si="10"/>
        <v>-603794.42</v>
      </c>
    </row>
    <row r="107" spans="9:14">
      <c r="I107" s="68"/>
      <c r="N107" s="68"/>
    </row>
    <row r="108" spans="7:16">
      <c r="G108" s="68"/>
      <c r="J108" s="240"/>
      <c r="P108" s="242"/>
    </row>
    <row r="109" spans="16:16">
      <c r="P109" s="242"/>
    </row>
    <row r="110" s="6" customFormat="1" ht="12" spans="4:4">
      <c r="D110" s="241"/>
    </row>
  </sheetData>
  <autoFilter ref="B5:P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J108">
    <cfRule type="cellIs" dxfId="0" priority="2" stopIfTrue="1" operator="equal">
      <formula>"no"</formula>
    </cfRule>
  </conditionalFormatting>
  <conditionalFormatting sqref="A41:L41 O41:XFD41"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41:XFD41 A41:D41 H41:L41">
    <cfRule type="cellIs" dxfId="0" priority="6" stopIfTrue="1" operator="equal">
      <formula>"no"</formula>
    </cfRule>
  </conditionalFormatting>
  <conditionalFormatting sqref="A41:C41 E41:IF41">
    <cfRule type="cellIs" dxfId="0" priority="5" stopIfTrue="1" operator="equal">
      <formula>"no"</formula>
    </cfRule>
  </conditionalFormatting>
  <conditionalFormatting sqref="A106:C106 Q106:IK106">
    <cfRule type="cellIs" dxfId="0" priority="4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10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1.25" style="10" customWidth="1"/>
    <col min="2" max="3" width="13" style="10" customWidth="1"/>
    <col min="4" max="4" width="11.75" style="10" customWidth="1"/>
    <col min="5" max="5" width="11.75" style="6" customWidth="1"/>
    <col min="6" max="6" width="11.5" style="6" customWidth="1"/>
    <col min="7" max="12" width="11.5" style="10" customWidth="1"/>
    <col min="13" max="15" width="12.75" style="10" customWidth="1"/>
    <col min="16" max="16" width="14.25" style="10" customWidth="1"/>
    <col min="17" max="225" width="9" style="10"/>
    <col min="226" max="226" width="11.25" style="10" customWidth="1"/>
    <col min="227" max="228" width="13" style="10" customWidth="1"/>
    <col min="229" max="229" width="13.25" style="10" customWidth="1"/>
    <col min="230" max="230" width="14" style="10" customWidth="1"/>
    <col min="231" max="231" width="17" style="10" customWidth="1"/>
    <col min="232" max="232" width="14.125" style="10" customWidth="1"/>
    <col min="233" max="233" width="12.375" style="10" customWidth="1"/>
    <col min="234" max="234" width="13.5" style="10" customWidth="1"/>
    <col min="235" max="236" width="13.375" style="10" customWidth="1"/>
    <col min="237" max="238" width="14" style="10" customWidth="1"/>
    <col min="239" max="239" width="14.125" style="10" customWidth="1"/>
    <col min="240" max="240" width="30.75" style="10" customWidth="1"/>
    <col min="241" max="481" width="9" style="10"/>
    <col min="482" max="482" width="11.25" style="10" customWidth="1"/>
    <col min="483" max="484" width="13" style="10" customWidth="1"/>
    <col min="485" max="485" width="13.25" style="10" customWidth="1"/>
    <col min="486" max="486" width="14" style="10" customWidth="1"/>
    <col min="487" max="487" width="17" style="10" customWidth="1"/>
    <col min="488" max="488" width="14.125" style="10" customWidth="1"/>
    <col min="489" max="489" width="12.375" style="10" customWidth="1"/>
    <col min="490" max="490" width="13.5" style="10" customWidth="1"/>
    <col min="491" max="492" width="13.375" style="10" customWidth="1"/>
    <col min="493" max="494" width="14" style="10" customWidth="1"/>
    <col min="495" max="495" width="14.125" style="10" customWidth="1"/>
    <col min="496" max="496" width="30.75" style="10" customWidth="1"/>
    <col min="497" max="737" width="9" style="10"/>
    <col min="738" max="738" width="11.25" style="10" customWidth="1"/>
    <col min="739" max="740" width="13" style="10" customWidth="1"/>
    <col min="741" max="741" width="13.25" style="10" customWidth="1"/>
    <col min="742" max="742" width="14" style="10" customWidth="1"/>
    <col min="743" max="743" width="17" style="10" customWidth="1"/>
    <col min="744" max="744" width="14.125" style="10" customWidth="1"/>
    <col min="745" max="745" width="12.375" style="10" customWidth="1"/>
    <col min="746" max="746" width="13.5" style="10" customWidth="1"/>
    <col min="747" max="748" width="13.375" style="10" customWidth="1"/>
    <col min="749" max="750" width="14" style="10" customWidth="1"/>
    <col min="751" max="751" width="14.125" style="10" customWidth="1"/>
    <col min="752" max="752" width="30.75" style="10" customWidth="1"/>
    <col min="753" max="993" width="9" style="10"/>
    <col min="994" max="994" width="11.25" style="10" customWidth="1"/>
    <col min="995" max="996" width="13" style="10" customWidth="1"/>
    <col min="997" max="997" width="13.25" style="10" customWidth="1"/>
    <col min="998" max="998" width="14" style="10" customWidth="1"/>
    <col min="999" max="999" width="17" style="10" customWidth="1"/>
    <col min="1000" max="1000" width="14.125" style="10" customWidth="1"/>
    <col min="1001" max="1001" width="12.375" style="10" customWidth="1"/>
    <col min="1002" max="1002" width="13.5" style="10" customWidth="1"/>
    <col min="1003" max="1004" width="13.375" style="10" customWidth="1"/>
    <col min="1005" max="1006" width="14" style="10" customWidth="1"/>
    <col min="1007" max="1007" width="14.125" style="10" customWidth="1"/>
    <col min="1008" max="1008" width="30.75" style="10" customWidth="1"/>
    <col min="1009" max="1249" width="9" style="10"/>
    <col min="1250" max="1250" width="11.25" style="10" customWidth="1"/>
    <col min="1251" max="1252" width="13" style="10" customWidth="1"/>
    <col min="1253" max="1253" width="13.25" style="10" customWidth="1"/>
    <col min="1254" max="1254" width="14" style="10" customWidth="1"/>
    <col min="1255" max="1255" width="17" style="10" customWidth="1"/>
    <col min="1256" max="1256" width="14.125" style="10" customWidth="1"/>
    <col min="1257" max="1257" width="12.375" style="10" customWidth="1"/>
    <col min="1258" max="1258" width="13.5" style="10" customWidth="1"/>
    <col min="1259" max="1260" width="13.375" style="10" customWidth="1"/>
    <col min="1261" max="1262" width="14" style="10" customWidth="1"/>
    <col min="1263" max="1263" width="14.125" style="10" customWidth="1"/>
    <col min="1264" max="1264" width="30.75" style="10" customWidth="1"/>
    <col min="1265" max="1505" width="9" style="10"/>
    <col min="1506" max="1506" width="11.25" style="10" customWidth="1"/>
    <col min="1507" max="1508" width="13" style="10" customWidth="1"/>
    <col min="1509" max="1509" width="13.25" style="10" customWidth="1"/>
    <col min="1510" max="1510" width="14" style="10" customWidth="1"/>
    <col min="1511" max="1511" width="17" style="10" customWidth="1"/>
    <col min="1512" max="1512" width="14.125" style="10" customWidth="1"/>
    <col min="1513" max="1513" width="12.375" style="10" customWidth="1"/>
    <col min="1514" max="1514" width="13.5" style="10" customWidth="1"/>
    <col min="1515" max="1516" width="13.375" style="10" customWidth="1"/>
    <col min="1517" max="1518" width="14" style="10" customWidth="1"/>
    <col min="1519" max="1519" width="14.125" style="10" customWidth="1"/>
    <col min="1520" max="1520" width="30.75" style="10" customWidth="1"/>
    <col min="1521" max="1761" width="9" style="10"/>
    <col min="1762" max="1762" width="11.25" style="10" customWidth="1"/>
    <col min="1763" max="1764" width="13" style="10" customWidth="1"/>
    <col min="1765" max="1765" width="13.25" style="10" customWidth="1"/>
    <col min="1766" max="1766" width="14" style="10" customWidth="1"/>
    <col min="1767" max="1767" width="17" style="10" customWidth="1"/>
    <col min="1768" max="1768" width="14.125" style="10" customWidth="1"/>
    <col min="1769" max="1769" width="12.375" style="10" customWidth="1"/>
    <col min="1770" max="1770" width="13.5" style="10" customWidth="1"/>
    <col min="1771" max="1772" width="13.375" style="10" customWidth="1"/>
    <col min="1773" max="1774" width="14" style="10" customWidth="1"/>
    <col min="1775" max="1775" width="14.125" style="10" customWidth="1"/>
    <col min="1776" max="1776" width="30.75" style="10" customWidth="1"/>
    <col min="1777" max="2017" width="9" style="10"/>
    <col min="2018" max="2018" width="11.25" style="10" customWidth="1"/>
    <col min="2019" max="2020" width="13" style="10" customWidth="1"/>
    <col min="2021" max="2021" width="13.25" style="10" customWidth="1"/>
    <col min="2022" max="2022" width="14" style="10" customWidth="1"/>
    <col min="2023" max="2023" width="17" style="10" customWidth="1"/>
    <col min="2024" max="2024" width="14.125" style="10" customWidth="1"/>
    <col min="2025" max="2025" width="12.375" style="10" customWidth="1"/>
    <col min="2026" max="2026" width="13.5" style="10" customWidth="1"/>
    <col min="2027" max="2028" width="13.375" style="10" customWidth="1"/>
    <col min="2029" max="2030" width="14" style="10" customWidth="1"/>
    <col min="2031" max="2031" width="14.125" style="10" customWidth="1"/>
    <col min="2032" max="2032" width="30.75" style="10" customWidth="1"/>
    <col min="2033" max="2273" width="9" style="10"/>
    <col min="2274" max="2274" width="11.25" style="10" customWidth="1"/>
    <col min="2275" max="2276" width="13" style="10" customWidth="1"/>
    <col min="2277" max="2277" width="13.25" style="10" customWidth="1"/>
    <col min="2278" max="2278" width="14" style="10" customWidth="1"/>
    <col min="2279" max="2279" width="17" style="10" customWidth="1"/>
    <col min="2280" max="2280" width="14.125" style="10" customWidth="1"/>
    <col min="2281" max="2281" width="12.375" style="10" customWidth="1"/>
    <col min="2282" max="2282" width="13.5" style="10" customWidth="1"/>
    <col min="2283" max="2284" width="13.375" style="10" customWidth="1"/>
    <col min="2285" max="2286" width="14" style="10" customWidth="1"/>
    <col min="2287" max="2287" width="14.125" style="10" customWidth="1"/>
    <col min="2288" max="2288" width="30.75" style="10" customWidth="1"/>
    <col min="2289" max="2529" width="9" style="10"/>
    <col min="2530" max="2530" width="11.25" style="10" customWidth="1"/>
    <col min="2531" max="2532" width="13" style="10" customWidth="1"/>
    <col min="2533" max="2533" width="13.25" style="10" customWidth="1"/>
    <col min="2534" max="2534" width="14" style="10" customWidth="1"/>
    <col min="2535" max="2535" width="17" style="10" customWidth="1"/>
    <col min="2536" max="2536" width="14.125" style="10" customWidth="1"/>
    <col min="2537" max="2537" width="12.375" style="10" customWidth="1"/>
    <col min="2538" max="2538" width="13.5" style="10" customWidth="1"/>
    <col min="2539" max="2540" width="13.375" style="10" customWidth="1"/>
    <col min="2541" max="2542" width="14" style="10" customWidth="1"/>
    <col min="2543" max="2543" width="14.125" style="10" customWidth="1"/>
    <col min="2544" max="2544" width="30.75" style="10" customWidth="1"/>
    <col min="2545" max="2785" width="9" style="10"/>
    <col min="2786" max="2786" width="11.25" style="10" customWidth="1"/>
    <col min="2787" max="2788" width="13" style="10" customWidth="1"/>
    <col min="2789" max="2789" width="13.25" style="10" customWidth="1"/>
    <col min="2790" max="2790" width="14" style="10" customWidth="1"/>
    <col min="2791" max="2791" width="17" style="10" customWidth="1"/>
    <col min="2792" max="2792" width="14.125" style="10" customWidth="1"/>
    <col min="2793" max="2793" width="12.375" style="10" customWidth="1"/>
    <col min="2794" max="2794" width="13.5" style="10" customWidth="1"/>
    <col min="2795" max="2796" width="13.375" style="10" customWidth="1"/>
    <col min="2797" max="2798" width="14" style="10" customWidth="1"/>
    <col min="2799" max="2799" width="14.125" style="10" customWidth="1"/>
    <col min="2800" max="2800" width="30.75" style="10" customWidth="1"/>
    <col min="2801" max="3041" width="9" style="10"/>
    <col min="3042" max="3042" width="11.25" style="10" customWidth="1"/>
    <col min="3043" max="3044" width="13" style="10" customWidth="1"/>
    <col min="3045" max="3045" width="13.25" style="10" customWidth="1"/>
    <col min="3046" max="3046" width="14" style="10" customWidth="1"/>
    <col min="3047" max="3047" width="17" style="10" customWidth="1"/>
    <col min="3048" max="3048" width="14.125" style="10" customWidth="1"/>
    <col min="3049" max="3049" width="12.375" style="10" customWidth="1"/>
    <col min="3050" max="3050" width="13.5" style="10" customWidth="1"/>
    <col min="3051" max="3052" width="13.375" style="10" customWidth="1"/>
    <col min="3053" max="3054" width="14" style="10" customWidth="1"/>
    <col min="3055" max="3055" width="14.125" style="10" customWidth="1"/>
    <col min="3056" max="3056" width="30.75" style="10" customWidth="1"/>
    <col min="3057" max="3297" width="9" style="10"/>
    <col min="3298" max="3298" width="11.25" style="10" customWidth="1"/>
    <col min="3299" max="3300" width="13" style="10" customWidth="1"/>
    <col min="3301" max="3301" width="13.25" style="10" customWidth="1"/>
    <col min="3302" max="3302" width="14" style="10" customWidth="1"/>
    <col min="3303" max="3303" width="17" style="10" customWidth="1"/>
    <col min="3304" max="3304" width="14.125" style="10" customWidth="1"/>
    <col min="3305" max="3305" width="12.375" style="10" customWidth="1"/>
    <col min="3306" max="3306" width="13.5" style="10" customWidth="1"/>
    <col min="3307" max="3308" width="13.375" style="10" customWidth="1"/>
    <col min="3309" max="3310" width="14" style="10" customWidth="1"/>
    <col min="3311" max="3311" width="14.125" style="10" customWidth="1"/>
    <col min="3312" max="3312" width="30.75" style="10" customWidth="1"/>
    <col min="3313" max="3553" width="9" style="10"/>
    <col min="3554" max="3554" width="11.25" style="10" customWidth="1"/>
    <col min="3555" max="3556" width="13" style="10" customWidth="1"/>
    <col min="3557" max="3557" width="13.25" style="10" customWidth="1"/>
    <col min="3558" max="3558" width="14" style="10" customWidth="1"/>
    <col min="3559" max="3559" width="17" style="10" customWidth="1"/>
    <col min="3560" max="3560" width="14.125" style="10" customWidth="1"/>
    <col min="3561" max="3561" width="12.375" style="10" customWidth="1"/>
    <col min="3562" max="3562" width="13.5" style="10" customWidth="1"/>
    <col min="3563" max="3564" width="13.375" style="10" customWidth="1"/>
    <col min="3565" max="3566" width="14" style="10" customWidth="1"/>
    <col min="3567" max="3567" width="14.125" style="10" customWidth="1"/>
    <col min="3568" max="3568" width="30.75" style="10" customWidth="1"/>
    <col min="3569" max="3809" width="9" style="10"/>
    <col min="3810" max="3810" width="11.25" style="10" customWidth="1"/>
    <col min="3811" max="3812" width="13" style="10" customWidth="1"/>
    <col min="3813" max="3813" width="13.25" style="10" customWidth="1"/>
    <col min="3814" max="3814" width="14" style="10" customWidth="1"/>
    <col min="3815" max="3815" width="17" style="10" customWidth="1"/>
    <col min="3816" max="3816" width="14.125" style="10" customWidth="1"/>
    <col min="3817" max="3817" width="12.375" style="10" customWidth="1"/>
    <col min="3818" max="3818" width="13.5" style="10" customWidth="1"/>
    <col min="3819" max="3820" width="13.375" style="10" customWidth="1"/>
    <col min="3821" max="3822" width="14" style="10" customWidth="1"/>
    <col min="3823" max="3823" width="14.125" style="10" customWidth="1"/>
    <col min="3824" max="3824" width="30.75" style="10" customWidth="1"/>
    <col min="3825" max="4065" width="9" style="10"/>
    <col min="4066" max="4066" width="11.25" style="10" customWidth="1"/>
    <col min="4067" max="4068" width="13" style="10" customWidth="1"/>
    <col min="4069" max="4069" width="13.25" style="10" customWidth="1"/>
    <col min="4070" max="4070" width="14" style="10" customWidth="1"/>
    <col min="4071" max="4071" width="17" style="10" customWidth="1"/>
    <col min="4072" max="4072" width="14.125" style="10" customWidth="1"/>
    <col min="4073" max="4073" width="12.375" style="10" customWidth="1"/>
    <col min="4074" max="4074" width="13.5" style="10" customWidth="1"/>
    <col min="4075" max="4076" width="13.375" style="10" customWidth="1"/>
    <col min="4077" max="4078" width="14" style="10" customWidth="1"/>
    <col min="4079" max="4079" width="14.125" style="10" customWidth="1"/>
    <col min="4080" max="4080" width="30.75" style="10" customWidth="1"/>
    <col min="4081" max="4321" width="9" style="10"/>
    <col min="4322" max="4322" width="11.25" style="10" customWidth="1"/>
    <col min="4323" max="4324" width="13" style="10" customWidth="1"/>
    <col min="4325" max="4325" width="13.25" style="10" customWidth="1"/>
    <col min="4326" max="4326" width="14" style="10" customWidth="1"/>
    <col min="4327" max="4327" width="17" style="10" customWidth="1"/>
    <col min="4328" max="4328" width="14.125" style="10" customWidth="1"/>
    <col min="4329" max="4329" width="12.375" style="10" customWidth="1"/>
    <col min="4330" max="4330" width="13.5" style="10" customWidth="1"/>
    <col min="4331" max="4332" width="13.375" style="10" customWidth="1"/>
    <col min="4333" max="4334" width="14" style="10" customWidth="1"/>
    <col min="4335" max="4335" width="14.125" style="10" customWidth="1"/>
    <col min="4336" max="4336" width="30.75" style="10" customWidth="1"/>
    <col min="4337" max="4577" width="9" style="10"/>
    <col min="4578" max="4578" width="11.25" style="10" customWidth="1"/>
    <col min="4579" max="4580" width="13" style="10" customWidth="1"/>
    <col min="4581" max="4581" width="13.25" style="10" customWidth="1"/>
    <col min="4582" max="4582" width="14" style="10" customWidth="1"/>
    <col min="4583" max="4583" width="17" style="10" customWidth="1"/>
    <col min="4584" max="4584" width="14.125" style="10" customWidth="1"/>
    <col min="4585" max="4585" width="12.375" style="10" customWidth="1"/>
    <col min="4586" max="4586" width="13.5" style="10" customWidth="1"/>
    <col min="4587" max="4588" width="13.375" style="10" customWidth="1"/>
    <col min="4589" max="4590" width="14" style="10" customWidth="1"/>
    <col min="4591" max="4591" width="14.125" style="10" customWidth="1"/>
    <col min="4592" max="4592" width="30.75" style="10" customWidth="1"/>
    <col min="4593" max="4833" width="9" style="10"/>
    <col min="4834" max="4834" width="11.25" style="10" customWidth="1"/>
    <col min="4835" max="4836" width="13" style="10" customWidth="1"/>
    <col min="4837" max="4837" width="13.25" style="10" customWidth="1"/>
    <col min="4838" max="4838" width="14" style="10" customWidth="1"/>
    <col min="4839" max="4839" width="17" style="10" customWidth="1"/>
    <col min="4840" max="4840" width="14.125" style="10" customWidth="1"/>
    <col min="4841" max="4841" width="12.375" style="10" customWidth="1"/>
    <col min="4842" max="4842" width="13.5" style="10" customWidth="1"/>
    <col min="4843" max="4844" width="13.375" style="10" customWidth="1"/>
    <col min="4845" max="4846" width="14" style="10" customWidth="1"/>
    <col min="4847" max="4847" width="14.125" style="10" customWidth="1"/>
    <col min="4848" max="4848" width="30.75" style="10" customWidth="1"/>
    <col min="4849" max="5089" width="9" style="10"/>
    <col min="5090" max="5090" width="11.25" style="10" customWidth="1"/>
    <col min="5091" max="5092" width="13" style="10" customWidth="1"/>
    <col min="5093" max="5093" width="13.25" style="10" customWidth="1"/>
    <col min="5094" max="5094" width="14" style="10" customWidth="1"/>
    <col min="5095" max="5095" width="17" style="10" customWidth="1"/>
    <col min="5096" max="5096" width="14.125" style="10" customWidth="1"/>
    <col min="5097" max="5097" width="12.375" style="10" customWidth="1"/>
    <col min="5098" max="5098" width="13.5" style="10" customWidth="1"/>
    <col min="5099" max="5100" width="13.375" style="10" customWidth="1"/>
    <col min="5101" max="5102" width="14" style="10" customWidth="1"/>
    <col min="5103" max="5103" width="14.125" style="10" customWidth="1"/>
    <col min="5104" max="5104" width="30.75" style="10" customWidth="1"/>
    <col min="5105" max="5345" width="9" style="10"/>
    <col min="5346" max="5346" width="11.25" style="10" customWidth="1"/>
    <col min="5347" max="5348" width="13" style="10" customWidth="1"/>
    <col min="5349" max="5349" width="13.25" style="10" customWidth="1"/>
    <col min="5350" max="5350" width="14" style="10" customWidth="1"/>
    <col min="5351" max="5351" width="17" style="10" customWidth="1"/>
    <col min="5352" max="5352" width="14.125" style="10" customWidth="1"/>
    <col min="5353" max="5353" width="12.375" style="10" customWidth="1"/>
    <col min="5354" max="5354" width="13.5" style="10" customWidth="1"/>
    <col min="5355" max="5356" width="13.375" style="10" customWidth="1"/>
    <col min="5357" max="5358" width="14" style="10" customWidth="1"/>
    <col min="5359" max="5359" width="14.125" style="10" customWidth="1"/>
    <col min="5360" max="5360" width="30.75" style="10" customWidth="1"/>
    <col min="5361" max="5601" width="9" style="10"/>
    <col min="5602" max="5602" width="11.25" style="10" customWidth="1"/>
    <col min="5603" max="5604" width="13" style="10" customWidth="1"/>
    <col min="5605" max="5605" width="13.25" style="10" customWidth="1"/>
    <col min="5606" max="5606" width="14" style="10" customWidth="1"/>
    <col min="5607" max="5607" width="17" style="10" customWidth="1"/>
    <col min="5608" max="5608" width="14.125" style="10" customWidth="1"/>
    <col min="5609" max="5609" width="12.375" style="10" customWidth="1"/>
    <col min="5610" max="5610" width="13.5" style="10" customWidth="1"/>
    <col min="5611" max="5612" width="13.375" style="10" customWidth="1"/>
    <col min="5613" max="5614" width="14" style="10" customWidth="1"/>
    <col min="5615" max="5615" width="14.125" style="10" customWidth="1"/>
    <col min="5616" max="5616" width="30.75" style="10" customWidth="1"/>
    <col min="5617" max="5857" width="9" style="10"/>
    <col min="5858" max="5858" width="11.25" style="10" customWidth="1"/>
    <col min="5859" max="5860" width="13" style="10" customWidth="1"/>
    <col min="5861" max="5861" width="13.25" style="10" customWidth="1"/>
    <col min="5862" max="5862" width="14" style="10" customWidth="1"/>
    <col min="5863" max="5863" width="17" style="10" customWidth="1"/>
    <col min="5864" max="5864" width="14.125" style="10" customWidth="1"/>
    <col min="5865" max="5865" width="12.375" style="10" customWidth="1"/>
    <col min="5866" max="5866" width="13.5" style="10" customWidth="1"/>
    <col min="5867" max="5868" width="13.375" style="10" customWidth="1"/>
    <col min="5869" max="5870" width="14" style="10" customWidth="1"/>
    <col min="5871" max="5871" width="14.125" style="10" customWidth="1"/>
    <col min="5872" max="5872" width="30.75" style="10" customWidth="1"/>
    <col min="5873" max="6113" width="9" style="10"/>
    <col min="6114" max="6114" width="11.25" style="10" customWidth="1"/>
    <col min="6115" max="6116" width="13" style="10" customWidth="1"/>
    <col min="6117" max="6117" width="13.25" style="10" customWidth="1"/>
    <col min="6118" max="6118" width="14" style="10" customWidth="1"/>
    <col min="6119" max="6119" width="17" style="10" customWidth="1"/>
    <col min="6120" max="6120" width="14.125" style="10" customWidth="1"/>
    <col min="6121" max="6121" width="12.375" style="10" customWidth="1"/>
    <col min="6122" max="6122" width="13.5" style="10" customWidth="1"/>
    <col min="6123" max="6124" width="13.375" style="10" customWidth="1"/>
    <col min="6125" max="6126" width="14" style="10" customWidth="1"/>
    <col min="6127" max="6127" width="14.125" style="10" customWidth="1"/>
    <col min="6128" max="6128" width="30.75" style="10" customWidth="1"/>
    <col min="6129" max="6369" width="9" style="10"/>
    <col min="6370" max="6370" width="11.25" style="10" customWidth="1"/>
    <col min="6371" max="6372" width="13" style="10" customWidth="1"/>
    <col min="6373" max="6373" width="13.25" style="10" customWidth="1"/>
    <col min="6374" max="6374" width="14" style="10" customWidth="1"/>
    <col min="6375" max="6375" width="17" style="10" customWidth="1"/>
    <col min="6376" max="6376" width="14.125" style="10" customWidth="1"/>
    <col min="6377" max="6377" width="12.375" style="10" customWidth="1"/>
    <col min="6378" max="6378" width="13.5" style="10" customWidth="1"/>
    <col min="6379" max="6380" width="13.375" style="10" customWidth="1"/>
    <col min="6381" max="6382" width="14" style="10" customWidth="1"/>
    <col min="6383" max="6383" width="14.125" style="10" customWidth="1"/>
    <col min="6384" max="6384" width="30.75" style="10" customWidth="1"/>
    <col min="6385" max="6625" width="9" style="10"/>
    <col min="6626" max="6626" width="11.25" style="10" customWidth="1"/>
    <col min="6627" max="6628" width="13" style="10" customWidth="1"/>
    <col min="6629" max="6629" width="13.25" style="10" customWidth="1"/>
    <col min="6630" max="6630" width="14" style="10" customWidth="1"/>
    <col min="6631" max="6631" width="17" style="10" customWidth="1"/>
    <col min="6632" max="6632" width="14.125" style="10" customWidth="1"/>
    <col min="6633" max="6633" width="12.375" style="10" customWidth="1"/>
    <col min="6634" max="6634" width="13.5" style="10" customWidth="1"/>
    <col min="6635" max="6636" width="13.375" style="10" customWidth="1"/>
    <col min="6637" max="6638" width="14" style="10" customWidth="1"/>
    <col min="6639" max="6639" width="14.125" style="10" customWidth="1"/>
    <col min="6640" max="6640" width="30.75" style="10" customWidth="1"/>
    <col min="6641" max="6881" width="9" style="10"/>
    <col min="6882" max="6882" width="11.25" style="10" customWidth="1"/>
    <col min="6883" max="6884" width="13" style="10" customWidth="1"/>
    <col min="6885" max="6885" width="13.25" style="10" customWidth="1"/>
    <col min="6886" max="6886" width="14" style="10" customWidth="1"/>
    <col min="6887" max="6887" width="17" style="10" customWidth="1"/>
    <col min="6888" max="6888" width="14.125" style="10" customWidth="1"/>
    <col min="6889" max="6889" width="12.375" style="10" customWidth="1"/>
    <col min="6890" max="6890" width="13.5" style="10" customWidth="1"/>
    <col min="6891" max="6892" width="13.375" style="10" customWidth="1"/>
    <col min="6893" max="6894" width="14" style="10" customWidth="1"/>
    <col min="6895" max="6895" width="14.125" style="10" customWidth="1"/>
    <col min="6896" max="6896" width="30.75" style="10" customWidth="1"/>
    <col min="6897" max="7137" width="9" style="10"/>
    <col min="7138" max="7138" width="11.25" style="10" customWidth="1"/>
    <col min="7139" max="7140" width="13" style="10" customWidth="1"/>
    <col min="7141" max="7141" width="13.25" style="10" customWidth="1"/>
    <col min="7142" max="7142" width="14" style="10" customWidth="1"/>
    <col min="7143" max="7143" width="17" style="10" customWidth="1"/>
    <col min="7144" max="7144" width="14.125" style="10" customWidth="1"/>
    <col min="7145" max="7145" width="12.375" style="10" customWidth="1"/>
    <col min="7146" max="7146" width="13.5" style="10" customWidth="1"/>
    <col min="7147" max="7148" width="13.375" style="10" customWidth="1"/>
    <col min="7149" max="7150" width="14" style="10" customWidth="1"/>
    <col min="7151" max="7151" width="14.125" style="10" customWidth="1"/>
    <col min="7152" max="7152" width="30.75" style="10" customWidth="1"/>
    <col min="7153" max="7393" width="9" style="10"/>
    <col min="7394" max="7394" width="11.25" style="10" customWidth="1"/>
    <col min="7395" max="7396" width="13" style="10" customWidth="1"/>
    <col min="7397" max="7397" width="13.25" style="10" customWidth="1"/>
    <col min="7398" max="7398" width="14" style="10" customWidth="1"/>
    <col min="7399" max="7399" width="17" style="10" customWidth="1"/>
    <col min="7400" max="7400" width="14.125" style="10" customWidth="1"/>
    <col min="7401" max="7401" width="12.375" style="10" customWidth="1"/>
    <col min="7402" max="7402" width="13.5" style="10" customWidth="1"/>
    <col min="7403" max="7404" width="13.375" style="10" customWidth="1"/>
    <col min="7405" max="7406" width="14" style="10" customWidth="1"/>
    <col min="7407" max="7407" width="14.125" style="10" customWidth="1"/>
    <col min="7408" max="7408" width="30.75" style="10" customWidth="1"/>
    <col min="7409" max="7649" width="9" style="10"/>
    <col min="7650" max="7650" width="11.25" style="10" customWidth="1"/>
    <col min="7651" max="7652" width="13" style="10" customWidth="1"/>
    <col min="7653" max="7653" width="13.25" style="10" customWidth="1"/>
    <col min="7654" max="7654" width="14" style="10" customWidth="1"/>
    <col min="7655" max="7655" width="17" style="10" customWidth="1"/>
    <col min="7656" max="7656" width="14.125" style="10" customWidth="1"/>
    <col min="7657" max="7657" width="12.375" style="10" customWidth="1"/>
    <col min="7658" max="7658" width="13.5" style="10" customWidth="1"/>
    <col min="7659" max="7660" width="13.375" style="10" customWidth="1"/>
    <col min="7661" max="7662" width="14" style="10" customWidth="1"/>
    <col min="7663" max="7663" width="14.125" style="10" customWidth="1"/>
    <col min="7664" max="7664" width="30.75" style="10" customWidth="1"/>
    <col min="7665" max="7905" width="9" style="10"/>
    <col min="7906" max="7906" width="11.25" style="10" customWidth="1"/>
    <col min="7907" max="7908" width="13" style="10" customWidth="1"/>
    <col min="7909" max="7909" width="13.25" style="10" customWidth="1"/>
    <col min="7910" max="7910" width="14" style="10" customWidth="1"/>
    <col min="7911" max="7911" width="17" style="10" customWidth="1"/>
    <col min="7912" max="7912" width="14.125" style="10" customWidth="1"/>
    <col min="7913" max="7913" width="12.375" style="10" customWidth="1"/>
    <col min="7914" max="7914" width="13.5" style="10" customWidth="1"/>
    <col min="7915" max="7916" width="13.375" style="10" customWidth="1"/>
    <col min="7917" max="7918" width="14" style="10" customWidth="1"/>
    <col min="7919" max="7919" width="14.125" style="10" customWidth="1"/>
    <col min="7920" max="7920" width="30.75" style="10" customWidth="1"/>
    <col min="7921" max="8161" width="9" style="10"/>
    <col min="8162" max="8162" width="11.25" style="10" customWidth="1"/>
    <col min="8163" max="8164" width="13" style="10" customWidth="1"/>
    <col min="8165" max="8165" width="13.25" style="10" customWidth="1"/>
    <col min="8166" max="8166" width="14" style="10" customWidth="1"/>
    <col min="8167" max="8167" width="17" style="10" customWidth="1"/>
    <col min="8168" max="8168" width="14.125" style="10" customWidth="1"/>
    <col min="8169" max="8169" width="12.375" style="10" customWidth="1"/>
    <col min="8170" max="8170" width="13.5" style="10" customWidth="1"/>
    <col min="8171" max="8172" width="13.375" style="10" customWidth="1"/>
    <col min="8173" max="8174" width="14" style="10" customWidth="1"/>
    <col min="8175" max="8175" width="14.125" style="10" customWidth="1"/>
    <col min="8176" max="8176" width="30.75" style="10" customWidth="1"/>
    <col min="8177" max="8417" width="9" style="10"/>
    <col min="8418" max="8418" width="11.25" style="10" customWidth="1"/>
    <col min="8419" max="8420" width="13" style="10" customWidth="1"/>
    <col min="8421" max="8421" width="13.25" style="10" customWidth="1"/>
    <col min="8422" max="8422" width="14" style="10" customWidth="1"/>
    <col min="8423" max="8423" width="17" style="10" customWidth="1"/>
    <col min="8424" max="8424" width="14.125" style="10" customWidth="1"/>
    <col min="8425" max="8425" width="12.375" style="10" customWidth="1"/>
    <col min="8426" max="8426" width="13.5" style="10" customWidth="1"/>
    <col min="8427" max="8428" width="13.375" style="10" customWidth="1"/>
    <col min="8429" max="8430" width="14" style="10" customWidth="1"/>
    <col min="8431" max="8431" width="14.125" style="10" customWidth="1"/>
    <col min="8432" max="8432" width="30.75" style="10" customWidth="1"/>
    <col min="8433" max="8673" width="9" style="10"/>
    <col min="8674" max="8674" width="11.25" style="10" customWidth="1"/>
    <col min="8675" max="8676" width="13" style="10" customWidth="1"/>
    <col min="8677" max="8677" width="13.25" style="10" customWidth="1"/>
    <col min="8678" max="8678" width="14" style="10" customWidth="1"/>
    <col min="8679" max="8679" width="17" style="10" customWidth="1"/>
    <col min="8680" max="8680" width="14.125" style="10" customWidth="1"/>
    <col min="8681" max="8681" width="12.375" style="10" customWidth="1"/>
    <col min="8682" max="8682" width="13.5" style="10" customWidth="1"/>
    <col min="8683" max="8684" width="13.375" style="10" customWidth="1"/>
    <col min="8685" max="8686" width="14" style="10" customWidth="1"/>
    <col min="8687" max="8687" width="14.125" style="10" customWidth="1"/>
    <col min="8688" max="8688" width="30.75" style="10" customWidth="1"/>
    <col min="8689" max="8929" width="9" style="10"/>
    <col min="8930" max="8930" width="11.25" style="10" customWidth="1"/>
    <col min="8931" max="8932" width="13" style="10" customWidth="1"/>
    <col min="8933" max="8933" width="13.25" style="10" customWidth="1"/>
    <col min="8934" max="8934" width="14" style="10" customWidth="1"/>
    <col min="8935" max="8935" width="17" style="10" customWidth="1"/>
    <col min="8936" max="8936" width="14.125" style="10" customWidth="1"/>
    <col min="8937" max="8937" width="12.375" style="10" customWidth="1"/>
    <col min="8938" max="8938" width="13.5" style="10" customWidth="1"/>
    <col min="8939" max="8940" width="13.375" style="10" customWidth="1"/>
    <col min="8941" max="8942" width="14" style="10" customWidth="1"/>
    <col min="8943" max="8943" width="14.125" style="10" customWidth="1"/>
    <col min="8944" max="8944" width="30.75" style="10" customWidth="1"/>
    <col min="8945" max="9185" width="9" style="10"/>
    <col min="9186" max="9186" width="11.25" style="10" customWidth="1"/>
    <col min="9187" max="9188" width="13" style="10" customWidth="1"/>
    <col min="9189" max="9189" width="13.25" style="10" customWidth="1"/>
    <col min="9190" max="9190" width="14" style="10" customWidth="1"/>
    <col min="9191" max="9191" width="17" style="10" customWidth="1"/>
    <col min="9192" max="9192" width="14.125" style="10" customWidth="1"/>
    <col min="9193" max="9193" width="12.375" style="10" customWidth="1"/>
    <col min="9194" max="9194" width="13.5" style="10" customWidth="1"/>
    <col min="9195" max="9196" width="13.375" style="10" customWidth="1"/>
    <col min="9197" max="9198" width="14" style="10" customWidth="1"/>
    <col min="9199" max="9199" width="14.125" style="10" customWidth="1"/>
    <col min="9200" max="9200" width="30.75" style="10" customWidth="1"/>
    <col min="9201" max="9441" width="9" style="10"/>
    <col min="9442" max="9442" width="11.25" style="10" customWidth="1"/>
    <col min="9443" max="9444" width="13" style="10" customWidth="1"/>
    <col min="9445" max="9445" width="13.25" style="10" customWidth="1"/>
    <col min="9446" max="9446" width="14" style="10" customWidth="1"/>
    <col min="9447" max="9447" width="17" style="10" customWidth="1"/>
    <col min="9448" max="9448" width="14.125" style="10" customWidth="1"/>
    <col min="9449" max="9449" width="12.375" style="10" customWidth="1"/>
    <col min="9450" max="9450" width="13.5" style="10" customWidth="1"/>
    <col min="9451" max="9452" width="13.375" style="10" customWidth="1"/>
    <col min="9453" max="9454" width="14" style="10" customWidth="1"/>
    <col min="9455" max="9455" width="14.125" style="10" customWidth="1"/>
    <col min="9456" max="9456" width="30.75" style="10" customWidth="1"/>
    <col min="9457" max="9697" width="9" style="10"/>
    <col min="9698" max="9698" width="11.25" style="10" customWidth="1"/>
    <col min="9699" max="9700" width="13" style="10" customWidth="1"/>
    <col min="9701" max="9701" width="13.25" style="10" customWidth="1"/>
    <col min="9702" max="9702" width="14" style="10" customWidth="1"/>
    <col min="9703" max="9703" width="17" style="10" customWidth="1"/>
    <col min="9704" max="9704" width="14.125" style="10" customWidth="1"/>
    <col min="9705" max="9705" width="12.375" style="10" customWidth="1"/>
    <col min="9706" max="9706" width="13.5" style="10" customWidth="1"/>
    <col min="9707" max="9708" width="13.375" style="10" customWidth="1"/>
    <col min="9709" max="9710" width="14" style="10" customWidth="1"/>
    <col min="9711" max="9711" width="14.125" style="10" customWidth="1"/>
    <col min="9712" max="9712" width="30.75" style="10" customWidth="1"/>
    <col min="9713" max="9953" width="9" style="10"/>
    <col min="9954" max="9954" width="11.25" style="10" customWidth="1"/>
    <col min="9955" max="9956" width="13" style="10" customWidth="1"/>
    <col min="9957" max="9957" width="13.25" style="10" customWidth="1"/>
    <col min="9958" max="9958" width="14" style="10" customWidth="1"/>
    <col min="9959" max="9959" width="17" style="10" customWidth="1"/>
    <col min="9960" max="9960" width="14.125" style="10" customWidth="1"/>
    <col min="9961" max="9961" width="12.375" style="10" customWidth="1"/>
    <col min="9962" max="9962" width="13.5" style="10" customWidth="1"/>
    <col min="9963" max="9964" width="13.375" style="10" customWidth="1"/>
    <col min="9965" max="9966" width="14" style="10" customWidth="1"/>
    <col min="9967" max="9967" width="14.125" style="10" customWidth="1"/>
    <col min="9968" max="9968" width="30.75" style="10" customWidth="1"/>
    <col min="9969" max="10209" width="9" style="10"/>
    <col min="10210" max="10210" width="11.25" style="10" customWidth="1"/>
    <col min="10211" max="10212" width="13" style="10" customWidth="1"/>
    <col min="10213" max="10213" width="13.25" style="10" customWidth="1"/>
    <col min="10214" max="10214" width="14" style="10" customWidth="1"/>
    <col min="10215" max="10215" width="17" style="10" customWidth="1"/>
    <col min="10216" max="10216" width="14.125" style="10" customWidth="1"/>
    <col min="10217" max="10217" width="12.375" style="10" customWidth="1"/>
    <col min="10218" max="10218" width="13.5" style="10" customWidth="1"/>
    <col min="10219" max="10220" width="13.375" style="10" customWidth="1"/>
    <col min="10221" max="10222" width="14" style="10" customWidth="1"/>
    <col min="10223" max="10223" width="14.125" style="10" customWidth="1"/>
    <col min="10224" max="10224" width="30.75" style="10" customWidth="1"/>
    <col min="10225" max="10465" width="9" style="10"/>
    <col min="10466" max="10466" width="11.25" style="10" customWidth="1"/>
    <col min="10467" max="10468" width="13" style="10" customWidth="1"/>
    <col min="10469" max="10469" width="13.25" style="10" customWidth="1"/>
    <col min="10470" max="10470" width="14" style="10" customWidth="1"/>
    <col min="10471" max="10471" width="17" style="10" customWidth="1"/>
    <col min="10472" max="10472" width="14.125" style="10" customWidth="1"/>
    <col min="10473" max="10473" width="12.375" style="10" customWidth="1"/>
    <col min="10474" max="10474" width="13.5" style="10" customWidth="1"/>
    <col min="10475" max="10476" width="13.375" style="10" customWidth="1"/>
    <col min="10477" max="10478" width="14" style="10" customWidth="1"/>
    <col min="10479" max="10479" width="14.125" style="10" customWidth="1"/>
    <col min="10480" max="10480" width="30.75" style="10" customWidth="1"/>
    <col min="10481" max="10721" width="9" style="10"/>
    <col min="10722" max="10722" width="11.25" style="10" customWidth="1"/>
    <col min="10723" max="10724" width="13" style="10" customWidth="1"/>
    <col min="10725" max="10725" width="13.25" style="10" customWidth="1"/>
    <col min="10726" max="10726" width="14" style="10" customWidth="1"/>
    <col min="10727" max="10727" width="17" style="10" customWidth="1"/>
    <col min="10728" max="10728" width="14.125" style="10" customWidth="1"/>
    <col min="10729" max="10729" width="12.375" style="10" customWidth="1"/>
    <col min="10730" max="10730" width="13.5" style="10" customWidth="1"/>
    <col min="10731" max="10732" width="13.375" style="10" customWidth="1"/>
    <col min="10733" max="10734" width="14" style="10" customWidth="1"/>
    <col min="10735" max="10735" width="14.125" style="10" customWidth="1"/>
    <col min="10736" max="10736" width="30.75" style="10" customWidth="1"/>
    <col min="10737" max="10977" width="9" style="10"/>
    <col min="10978" max="10978" width="11.25" style="10" customWidth="1"/>
    <col min="10979" max="10980" width="13" style="10" customWidth="1"/>
    <col min="10981" max="10981" width="13.25" style="10" customWidth="1"/>
    <col min="10982" max="10982" width="14" style="10" customWidth="1"/>
    <col min="10983" max="10983" width="17" style="10" customWidth="1"/>
    <col min="10984" max="10984" width="14.125" style="10" customWidth="1"/>
    <col min="10985" max="10985" width="12.375" style="10" customWidth="1"/>
    <col min="10986" max="10986" width="13.5" style="10" customWidth="1"/>
    <col min="10987" max="10988" width="13.375" style="10" customWidth="1"/>
    <col min="10989" max="10990" width="14" style="10" customWidth="1"/>
    <col min="10991" max="10991" width="14.125" style="10" customWidth="1"/>
    <col min="10992" max="10992" width="30.75" style="10" customWidth="1"/>
    <col min="10993" max="11233" width="9" style="10"/>
    <col min="11234" max="11234" width="11.25" style="10" customWidth="1"/>
    <col min="11235" max="11236" width="13" style="10" customWidth="1"/>
    <col min="11237" max="11237" width="13.25" style="10" customWidth="1"/>
    <col min="11238" max="11238" width="14" style="10" customWidth="1"/>
    <col min="11239" max="11239" width="17" style="10" customWidth="1"/>
    <col min="11240" max="11240" width="14.125" style="10" customWidth="1"/>
    <col min="11241" max="11241" width="12.375" style="10" customWidth="1"/>
    <col min="11242" max="11242" width="13.5" style="10" customWidth="1"/>
    <col min="11243" max="11244" width="13.375" style="10" customWidth="1"/>
    <col min="11245" max="11246" width="14" style="10" customWidth="1"/>
    <col min="11247" max="11247" width="14.125" style="10" customWidth="1"/>
    <col min="11248" max="11248" width="30.75" style="10" customWidth="1"/>
    <col min="11249" max="11489" width="9" style="10"/>
    <col min="11490" max="11490" width="11.25" style="10" customWidth="1"/>
    <col min="11491" max="11492" width="13" style="10" customWidth="1"/>
    <col min="11493" max="11493" width="13.25" style="10" customWidth="1"/>
    <col min="11494" max="11494" width="14" style="10" customWidth="1"/>
    <col min="11495" max="11495" width="17" style="10" customWidth="1"/>
    <col min="11496" max="11496" width="14.125" style="10" customWidth="1"/>
    <col min="11497" max="11497" width="12.375" style="10" customWidth="1"/>
    <col min="11498" max="11498" width="13.5" style="10" customWidth="1"/>
    <col min="11499" max="11500" width="13.375" style="10" customWidth="1"/>
    <col min="11501" max="11502" width="14" style="10" customWidth="1"/>
    <col min="11503" max="11503" width="14.125" style="10" customWidth="1"/>
    <col min="11504" max="11504" width="30.75" style="10" customWidth="1"/>
    <col min="11505" max="11745" width="9" style="10"/>
    <col min="11746" max="11746" width="11.25" style="10" customWidth="1"/>
    <col min="11747" max="11748" width="13" style="10" customWidth="1"/>
    <col min="11749" max="11749" width="13.25" style="10" customWidth="1"/>
    <col min="11750" max="11750" width="14" style="10" customWidth="1"/>
    <col min="11751" max="11751" width="17" style="10" customWidth="1"/>
    <col min="11752" max="11752" width="14.125" style="10" customWidth="1"/>
    <col min="11753" max="11753" width="12.375" style="10" customWidth="1"/>
    <col min="11754" max="11754" width="13.5" style="10" customWidth="1"/>
    <col min="11755" max="11756" width="13.375" style="10" customWidth="1"/>
    <col min="11757" max="11758" width="14" style="10" customWidth="1"/>
    <col min="11759" max="11759" width="14.125" style="10" customWidth="1"/>
    <col min="11760" max="11760" width="30.75" style="10" customWidth="1"/>
    <col min="11761" max="12001" width="9" style="10"/>
    <col min="12002" max="12002" width="11.25" style="10" customWidth="1"/>
    <col min="12003" max="12004" width="13" style="10" customWidth="1"/>
    <col min="12005" max="12005" width="13.25" style="10" customWidth="1"/>
    <col min="12006" max="12006" width="14" style="10" customWidth="1"/>
    <col min="12007" max="12007" width="17" style="10" customWidth="1"/>
    <col min="12008" max="12008" width="14.125" style="10" customWidth="1"/>
    <col min="12009" max="12009" width="12.375" style="10" customWidth="1"/>
    <col min="12010" max="12010" width="13.5" style="10" customWidth="1"/>
    <col min="12011" max="12012" width="13.375" style="10" customWidth="1"/>
    <col min="12013" max="12014" width="14" style="10" customWidth="1"/>
    <col min="12015" max="12015" width="14.125" style="10" customWidth="1"/>
    <col min="12016" max="12016" width="30.75" style="10" customWidth="1"/>
    <col min="12017" max="12257" width="9" style="10"/>
    <col min="12258" max="12258" width="11.25" style="10" customWidth="1"/>
    <col min="12259" max="12260" width="13" style="10" customWidth="1"/>
    <col min="12261" max="12261" width="13.25" style="10" customWidth="1"/>
    <col min="12262" max="12262" width="14" style="10" customWidth="1"/>
    <col min="12263" max="12263" width="17" style="10" customWidth="1"/>
    <col min="12264" max="12264" width="14.125" style="10" customWidth="1"/>
    <col min="12265" max="12265" width="12.375" style="10" customWidth="1"/>
    <col min="12266" max="12266" width="13.5" style="10" customWidth="1"/>
    <col min="12267" max="12268" width="13.375" style="10" customWidth="1"/>
    <col min="12269" max="12270" width="14" style="10" customWidth="1"/>
    <col min="12271" max="12271" width="14.125" style="10" customWidth="1"/>
    <col min="12272" max="12272" width="30.75" style="10" customWidth="1"/>
    <col min="12273" max="12513" width="9" style="10"/>
    <col min="12514" max="12514" width="11.25" style="10" customWidth="1"/>
    <col min="12515" max="12516" width="13" style="10" customWidth="1"/>
    <col min="12517" max="12517" width="13.25" style="10" customWidth="1"/>
    <col min="12518" max="12518" width="14" style="10" customWidth="1"/>
    <col min="12519" max="12519" width="17" style="10" customWidth="1"/>
    <col min="12520" max="12520" width="14.125" style="10" customWidth="1"/>
    <col min="12521" max="12521" width="12.375" style="10" customWidth="1"/>
    <col min="12522" max="12522" width="13.5" style="10" customWidth="1"/>
    <col min="12523" max="12524" width="13.375" style="10" customWidth="1"/>
    <col min="12525" max="12526" width="14" style="10" customWidth="1"/>
    <col min="12527" max="12527" width="14.125" style="10" customWidth="1"/>
    <col min="12528" max="12528" width="30.75" style="10" customWidth="1"/>
    <col min="12529" max="12769" width="9" style="10"/>
    <col min="12770" max="12770" width="11.25" style="10" customWidth="1"/>
    <col min="12771" max="12772" width="13" style="10" customWidth="1"/>
    <col min="12773" max="12773" width="13.25" style="10" customWidth="1"/>
    <col min="12774" max="12774" width="14" style="10" customWidth="1"/>
    <col min="12775" max="12775" width="17" style="10" customWidth="1"/>
    <col min="12776" max="12776" width="14.125" style="10" customWidth="1"/>
    <col min="12777" max="12777" width="12.375" style="10" customWidth="1"/>
    <col min="12778" max="12778" width="13.5" style="10" customWidth="1"/>
    <col min="12779" max="12780" width="13.375" style="10" customWidth="1"/>
    <col min="12781" max="12782" width="14" style="10" customWidth="1"/>
    <col min="12783" max="12783" width="14.125" style="10" customWidth="1"/>
    <col min="12784" max="12784" width="30.75" style="10" customWidth="1"/>
    <col min="12785" max="13025" width="9" style="10"/>
    <col min="13026" max="13026" width="11.25" style="10" customWidth="1"/>
    <col min="13027" max="13028" width="13" style="10" customWidth="1"/>
    <col min="13029" max="13029" width="13.25" style="10" customWidth="1"/>
    <col min="13030" max="13030" width="14" style="10" customWidth="1"/>
    <col min="13031" max="13031" width="17" style="10" customWidth="1"/>
    <col min="13032" max="13032" width="14.125" style="10" customWidth="1"/>
    <col min="13033" max="13033" width="12.375" style="10" customWidth="1"/>
    <col min="13034" max="13034" width="13.5" style="10" customWidth="1"/>
    <col min="13035" max="13036" width="13.375" style="10" customWidth="1"/>
    <col min="13037" max="13038" width="14" style="10" customWidth="1"/>
    <col min="13039" max="13039" width="14.125" style="10" customWidth="1"/>
    <col min="13040" max="13040" width="30.75" style="10" customWidth="1"/>
    <col min="13041" max="13281" width="9" style="10"/>
    <col min="13282" max="13282" width="11.25" style="10" customWidth="1"/>
    <col min="13283" max="13284" width="13" style="10" customWidth="1"/>
    <col min="13285" max="13285" width="13.25" style="10" customWidth="1"/>
    <col min="13286" max="13286" width="14" style="10" customWidth="1"/>
    <col min="13287" max="13287" width="17" style="10" customWidth="1"/>
    <col min="13288" max="13288" width="14.125" style="10" customWidth="1"/>
    <col min="13289" max="13289" width="12.375" style="10" customWidth="1"/>
    <col min="13290" max="13290" width="13.5" style="10" customWidth="1"/>
    <col min="13291" max="13292" width="13.375" style="10" customWidth="1"/>
    <col min="13293" max="13294" width="14" style="10" customWidth="1"/>
    <col min="13295" max="13295" width="14.125" style="10" customWidth="1"/>
    <col min="13296" max="13296" width="30.75" style="10" customWidth="1"/>
    <col min="13297" max="13537" width="9" style="10"/>
    <col min="13538" max="13538" width="11.25" style="10" customWidth="1"/>
    <col min="13539" max="13540" width="13" style="10" customWidth="1"/>
    <col min="13541" max="13541" width="13.25" style="10" customWidth="1"/>
    <col min="13542" max="13542" width="14" style="10" customWidth="1"/>
    <col min="13543" max="13543" width="17" style="10" customWidth="1"/>
    <col min="13544" max="13544" width="14.125" style="10" customWidth="1"/>
    <col min="13545" max="13545" width="12.375" style="10" customWidth="1"/>
    <col min="13546" max="13546" width="13.5" style="10" customWidth="1"/>
    <col min="13547" max="13548" width="13.375" style="10" customWidth="1"/>
    <col min="13549" max="13550" width="14" style="10" customWidth="1"/>
    <col min="13551" max="13551" width="14.125" style="10" customWidth="1"/>
    <col min="13552" max="13552" width="30.75" style="10" customWidth="1"/>
    <col min="13553" max="13793" width="9" style="10"/>
    <col min="13794" max="13794" width="11.25" style="10" customWidth="1"/>
    <col min="13795" max="13796" width="13" style="10" customWidth="1"/>
    <col min="13797" max="13797" width="13.25" style="10" customWidth="1"/>
    <col min="13798" max="13798" width="14" style="10" customWidth="1"/>
    <col min="13799" max="13799" width="17" style="10" customWidth="1"/>
    <col min="13800" max="13800" width="14.125" style="10" customWidth="1"/>
    <col min="13801" max="13801" width="12.375" style="10" customWidth="1"/>
    <col min="13802" max="13802" width="13.5" style="10" customWidth="1"/>
    <col min="13803" max="13804" width="13.375" style="10" customWidth="1"/>
    <col min="13805" max="13806" width="14" style="10" customWidth="1"/>
    <col min="13807" max="13807" width="14.125" style="10" customWidth="1"/>
    <col min="13808" max="13808" width="30.75" style="10" customWidth="1"/>
    <col min="13809" max="14049" width="9" style="10"/>
    <col min="14050" max="14050" width="11.25" style="10" customWidth="1"/>
    <col min="14051" max="14052" width="13" style="10" customWidth="1"/>
    <col min="14053" max="14053" width="13.25" style="10" customWidth="1"/>
    <col min="14054" max="14054" width="14" style="10" customWidth="1"/>
    <col min="14055" max="14055" width="17" style="10" customWidth="1"/>
    <col min="14056" max="14056" width="14.125" style="10" customWidth="1"/>
    <col min="14057" max="14057" width="12.375" style="10" customWidth="1"/>
    <col min="14058" max="14058" width="13.5" style="10" customWidth="1"/>
    <col min="14059" max="14060" width="13.375" style="10" customWidth="1"/>
    <col min="14061" max="14062" width="14" style="10" customWidth="1"/>
    <col min="14063" max="14063" width="14.125" style="10" customWidth="1"/>
    <col min="14064" max="14064" width="30.75" style="10" customWidth="1"/>
    <col min="14065" max="14305" width="9" style="10"/>
    <col min="14306" max="14306" width="11.25" style="10" customWidth="1"/>
    <col min="14307" max="14308" width="13" style="10" customWidth="1"/>
    <col min="14309" max="14309" width="13.25" style="10" customWidth="1"/>
    <col min="14310" max="14310" width="14" style="10" customWidth="1"/>
    <col min="14311" max="14311" width="17" style="10" customWidth="1"/>
    <col min="14312" max="14312" width="14.125" style="10" customWidth="1"/>
    <col min="14313" max="14313" width="12.375" style="10" customWidth="1"/>
    <col min="14314" max="14314" width="13.5" style="10" customWidth="1"/>
    <col min="14315" max="14316" width="13.375" style="10" customWidth="1"/>
    <col min="14317" max="14318" width="14" style="10" customWidth="1"/>
    <col min="14319" max="14319" width="14.125" style="10" customWidth="1"/>
    <col min="14320" max="14320" width="30.75" style="10" customWidth="1"/>
    <col min="14321" max="14561" width="9" style="10"/>
    <col min="14562" max="14562" width="11.25" style="10" customWidth="1"/>
    <col min="14563" max="14564" width="13" style="10" customWidth="1"/>
    <col min="14565" max="14565" width="13.25" style="10" customWidth="1"/>
    <col min="14566" max="14566" width="14" style="10" customWidth="1"/>
    <col min="14567" max="14567" width="17" style="10" customWidth="1"/>
    <col min="14568" max="14568" width="14.125" style="10" customWidth="1"/>
    <col min="14569" max="14569" width="12.375" style="10" customWidth="1"/>
    <col min="14570" max="14570" width="13.5" style="10" customWidth="1"/>
    <col min="14571" max="14572" width="13.375" style="10" customWidth="1"/>
    <col min="14573" max="14574" width="14" style="10" customWidth="1"/>
    <col min="14575" max="14575" width="14.125" style="10" customWidth="1"/>
    <col min="14576" max="14576" width="30.75" style="10" customWidth="1"/>
    <col min="14577" max="14817" width="9" style="10"/>
    <col min="14818" max="14818" width="11.25" style="10" customWidth="1"/>
    <col min="14819" max="14820" width="13" style="10" customWidth="1"/>
    <col min="14821" max="14821" width="13.25" style="10" customWidth="1"/>
    <col min="14822" max="14822" width="14" style="10" customWidth="1"/>
    <col min="14823" max="14823" width="17" style="10" customWidth="1"/>
    <col min="14824" max="14824" width="14.125" style="10" customWidth="1"/>
    <col min="14825" max="14825" width="12.375" style="10" customWidth="1"/>
    <col min="14826" max="14826" width="13.5" style="10" customWidth="1"/>
    <col min="14827" max="14828" width="13.375" style="10" customWidth="1"/>
    <col min="14829" max="14830" width="14" style="10" customWidth="1"/>
    <col min="14831" max="14831" width="14.125" style="10" customWidth="1"/>
    <col min="14832" max="14832" width="30.75" style="10" customWidth="1"/>
    <col min="14833" max="15073" width="9" style="10"/>
    <col min="15074" max="15074" width="11.25" style="10" customWidth="1"/>
    <col min="15075" max="15076" width="13" style="10" customWidth="1"/>
    <col min="15077" max="15077" width="13.25" style="10" customWidth="1"/>
    <col min="15078" max="15078" width="14" style="10" customWidth="1"/>
    <col min="15079" max="15079" width="17" style="10" customWidth="1"/>
    <col min="15080" max="15080" width="14.125" style="10" customWidth="1"/>
    <col min="15081" max="15081" width="12.375" style="10" customWidth="1"/>
    <col min="15082" max="15082" width="13.5" style="10" customWidth="1"/>
    <col min="15083" max="15084" width="13.375" style="10" customWidth="1"/>
    <col min="15085" max="15086" width="14" style="10" customWidth="1"/>
    <col min="15087" max="15087" width="14.125" style="10" customWidth="1"/>
    <col min="15088" max="15088" width="30.75" style="10" customWidth="1"/>
    <col min="15089" max="15329" width="9" style="10"/>
    <col min="15330" max="15330" width="11.25" style="10" customWidth="1"/>
    <col min="15331" max="15332" width="13" style="10" customWidth="1"/>
    <col min="15333" max="15333" width="13.25" style="10" customWidth="1"/>
    <col min="15334" max="15334" width="14" style="10" customWidth="1"/>
    <col min="15335" max="15335" width="17" style="10" customWidth="1"/>
    <col min="15336" max="15336" width="14.125" style="10" customWidth="1"/>
    <col min="15337" max="15337" width="12.375" style="10" customWidth="1"/>
    <col min="15338" max="15338" width="13.5" style="10" customWidth="1"/>
    <col min="15339" max="15340" width="13.375" style="10" customWidth="1"/>
    <col min="15341" max="15342" width="14" style="10" customWidth="1"/>
    <col min="15343" max="15343" width="14.125" style="10" customWidth="1"/>
    <col min="15344" max="15344" width="30.75" style="10" customWidth="1"/>
    <col min="15345" max="15585" width="9" style="10"/>
    <col min="15586" max="15586" width="11.25" style="10" customWidth="1"/>
    <col min="15587" max="15588" width="13" style="10" customWidth="1"/>
    <col min="15589" max="15589" width="13.25" style="10" customWidth="1"/>
    <col min="15590" max="15590" width="14" style="10" customWidth="1"/>
    <col min="15591" max="15591" width="17" style="10" customWidth="1"/>
    <col min="15592" max="15592" width="14.125" style="10" customWidth="1"/>
    <col min="15593" max="15593" width="12.375" style="10" customWidth="1"/>
    <col min="15594" max="15594" width="13.5" style="10" customWidth="1"/>
    <col min="15595" max="15596" width="13.375" style="10" customWidth="1"/>
    <col min="15597" max="15598" width="14" style="10" customWidth="1"/>
    <col min="15599" max="15599" width="14.125" style="10" customWidth="1"/>
    <col min="15600" max="15600" width="30.75" style="10" customWidth="1"/>
    <col min="15601" max="15841" width="9" style="10"/>
    <col min="15842" max="15842" width="11.25" style="10" customWidth="1"/>
    <col min="15843" max="15844" width="13" style="10" customWidth="1"/>
    <col min="15845" max="15845" width="13.25" style="10" customWidth="1"/>
    <col min="15846" max="15846" width="14" style="10" customWidth="1"/>
    <col min="15847" max="15847" width="17" style="10" customWidth="1"/>
    <col min="15848" max="15848" width="14.125" style="10" customWidth="1"/>
    <col min="15849" max="15849" width="12.375" style="10" customWidth="1"/>
    <col min="15850" max="15850" width="13.5" style="10" customWidth="1"/>
    <col min="15851" max="15852" width="13.375" style="10" customWidth="1"/>
    <col min="15853" max="15854" width="14" style="10" customWidth="1"/>
    <col min="15855" max="15855" width="14.125" style="10" customWidth="1"/>
    <col min="15856" max="15856" width="30.75" style="10" customWidth="1"/>
    <col min="15857" max="16097" width="9" style="10"/>
    <col min="16098" max="16098" width="11.25" style="10" customWidth="1"/>
    <col min="16099" max="16100" width="13" style="10" customWidth="1"/>
    <col min="16101" max="16101" width="13.25" style="10" customWidth="1"/>
    <col min="16102" max="16102" width="14" style="10" customWidth="1"/>
    <col min="16103" max="16103" width="17" style="10" customWidth="1"/>
    <col min="16104" max="16104" width="14.125" style="10" customWidth="1"/>
    <col min="16105" max="16105" width="12.375" style="10" customWidth="1"/>
    <col min="16106" max="16106" width="13.5" style="10" customWidth="1"/>
    <col min="16107" max="16108" width="13.375" style="10" customWidth="1"/>
    <col min="16109" max="16110" width="14" style="10" customWidth="1"/>
    <col min="16111" max="16111" width="14.125" style="10" customWidth="1"/>
    <col min="16112" max="16112" width="30.75" style="10" customWidth="1"/>
    <col min="16113" max="16384" width="9" style="10"/>
  </cols>
  <sheetData>
    <row r="1" s="1" customFormat="1" ht="28.5" customHeight="1" spans="1:6">
      <c r="A1" s="69" t="s">
        <v>326</v>
      </c>
      <c r="B1" s="69"/>
      <c r="C1" s="69"/>
      <c r="D1" s="69"/>
      <c r="E1" s="6"/>
      <c r="F1" s="6"/>
    </row>
    <row r="2" s="2" customFormat="1" ht="18" customHeight="1" spans="1:6">
      <c r="A2" s="2" t="s">
        <v>64</v>
      </c>
      <c r="E2" s="7"/>
      <c r="F2" s="191"/>
    </row>
    <row r="3" s="3" customFormat="1" ht="15" customHeight="1" spans="1:6">
      <c r="A3" s="123" t="str">
        <f>'G-高新'!A3</f>
        <v>编制期间：2020年4月</v>
      </c>
      <c r="E3" s="192"/>
      <c r="F3" s="193"/>
    </row>
    <row r="4" s="187" customFormat="1" customHeight="1" spans="1:16">
      <c r="A4" s="194" t="s">
        <v>65</v>
      </c>
      <c r="B4" s="194" t="s">
        <v>66</v>
      </c>
      <c r="C4" s="19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188" customFormat="1" ht="13.5" spans="1:16">
      <c r="A5" s="196"/>
      <c r="B5" s="196"/>
      <c r="C5" s="197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98" t="s">
        <v>69</v>
      </c>
      <c r="B6" s="19" t="s">
        <v>70</v>
      </c>
      <c r="C6" s="20" t="s">
        <v>70</v>
      </c>
      <c r="D6" s="21">
        <v>117387.8</v>
      </c>
      <c r="E6" s="21">
        <v>87830</v>
      </c>
      <c r="F6" s="21">
        <v>119705.89</v>
      </c>
      <c r="G6" s="21">
        <v>129035</v>
      </c>
      <c r="H6" s="21"/>
      <c r="I6" s="21"/>
      <c r="J6" s="21"/>
      <c r="K6" s="21"/>
      <c r="L6" s="21"/>
      <c r="M6" s="21"/>
      <c r="N6" s="21"/>
      <c r="O6" s="21"/>
      <c r="P6" s="47">
        <f>SUM(D6:O6)</f>
        <v>453958.69</v>
      </c>
      <c r="Q6" s="48">
        <f>P6+P7+P8+P19+P22+P23+P24+P25+P26</f>
        <v>540734.21</v>
      </c>
    </row>
    <row r="7" s="5" customFormat="1" ht="17.25" customHeight="1" spans="1:16">
      <c r="A7" s="199"/>
      <c r="B7" s="23"/>
      <c r="C7" s="20" t="s">
        <v>71</v>
      </c>
      <c r="D7" s="21"/>
      <c r="E7" s="21">
        <v>0</v>
      </c>
      <c r="F7" s="21">
        <v>0</v>
      </c>
      <c r="G7" s="21">
        <v>0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199"/>
      <c r="B8" s="19" t="s">
        <v>72</v>
      </c>
      <c r="C8" s="20" t="s">
        <v>72</v>
      </c>
      <c r="D8" s="21"/>
      <c r="E8" s="21">
        <v>15900</v>
      </c>
      <c r="F8" s="21">
        <v>0</v>
      </c>
      <c r="G8" s="21">
        <v>63600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79500</v>
      </c>
    </row>
    <row r="9" s="5" customFormat="1" ht="17.25" customHeight="1" spans="1:16">
      <c r="A9" s="199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199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199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199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199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199"/>
      <c r="B14" s="24"/>
      <c r="C14" s="20" t="s">
        <v>79</v>
      </c>
      <c r="D14" s="21"/>
      <c r="E14" s="21">
        <v>0</v>
      </c>
      <c r="F14" s="21">
        <v>0</v>
      </c>
      <c r="G14" s="21">
        <v>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199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199"/>
      <c r="B16" s="24"/>
      <c r="C16" s="25" t="s">
        <v>81</v>
      </c>
      <c r="D16" s="21"/>
      <c r="E16" s="21">
        <v>0</v>
      </c>
      <c r="F16" s="21">
        <v>12000</v>
      </c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12000</v>
      </c>
    </row>
    <row r="17" s="5" customFormat="1" ht="17.25" customHeight="1" spans="1:16">
      <c r="A17" s="199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199"/>
      <c r="B18" s="23"/>
      <c r="C18" s="25" t="s">
        <v>83</v>
      </c>
      <c r="D18" s="21"/>
      <c r="E18" s="21">
        <v>0</v>
      </c>
      <c r="F18" s="21">
        <v>0</v>
      </c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199"/>
      <c r="B19" s="26" t="s">
        <v>84</v>
      </c>
      <c r="C19" s="25" t="s">
        <v>84</v>
      </c>
      <c r="D19" s="21"/>
      <c r="E19" s="21">
        <v>0</v>
      </c>
      <c r="F19" s="21">
        <v>0</v>
      </c>
      <c r="G19" s="21">
        <v>0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199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199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199"/>
      <c r="B22" s="19" t="s">
        <v>87</v>
      </c>
      <c r="C22" s="25" t="s">
        <v>88</v>
      </c>
      <c r="D22" s="21">
        <v>3637.76</v>
      </c>
      <c r="E22" s="21">
        <v>3637.76</v>
      </c>
      <c r="F22" s="21">
        <v>0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7275.52</v>
      </c>
    </row>
    <row r="23" s="5" customFormat="1" ht="17.25" customHeight="1" spans="1:16">
      <c r="A23" s="199"/>
      <c r="B23" s="24"/>
      <c r="C23" s="25" t="s">
        <v>89</v>
      </c>
      <c r="D23" s="21"/>
      <c r="E23" s="21">
        <v>0</v>
      </c>
      <c r="F23" s="21">
        <v>0</v>
      </c>
      <c r="G23" s="21">
        <v>0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199"/>
      <c r="B24" s="24"/>
      <c r="C24" s="25" t="s">
        <v>90</v>
      </c>
      <c r="D24" s="21"/>
      <c r="E24" s="21">
        <v>0</v>
      </c>
      <c r="F24" s="21">
        <v>0</v>
      </c>
      <c r="G24" s="21">
        <v>0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199"/>
      <c r="B25" s="24"/>
      <c r="C25" s="25" t="s">
        <v>91</v>
      </c>
      <c r="D25" s="21"/>
      <c r="E25" s="21">
        <v>0</v>
      </c>
      <c r="F25" s="21">
        <v>0</v>
      </c>
      <c r="G25" s="21">
        <v>0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199"/>
      <c r="B26" s="23"/>
      <c r="C26" s="25" t="s">
        <v>92</v>
      </c>
      <c r="D26" s="21"/>
      <c r="E26" s="21">
        <v>0</v>
      </c>
      <c r="F26" s="21">
        <v>0</v>
      </c>
      <c r="G26" s="21">
        <v>0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00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01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02"/>
      <c r="B29" s="23"/>
      <c r="C29" s="20" t="s">
        <v>97</v>
      </c>
      <c r="D29" s="21"/>
      <c r="E29" s="21">
        <v>0</v>
      </c>
      <c r="F29" s="21">
        <v>0</v>
      </c>
      <c r="G29" s="21">
        <v>170.06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170.06</v>
      </c>
    </row>
    <row r="30" s="5" customFormat="1" ht="17.25" customHeight="1" spans="1:16">
      <c r="A30" s="202"/>
      <c r="B30" s="26" t="s">
        <v>98</v>
      </c>
      <c r="C30" s="25" t="s">
        <v>98</v>
      </c>
      <c r="D30" s="21"/>
      <c r="E30" s="21">
        <v>0</v>
      </c>
      <c r="F30" s="21">
        <v>5137.17</v>
      </c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5137.17</v>
      </c>
    </row>
    <row r="31" s="5" customFormat="1" ht="17.25" customHeight="1" spans="1:16">
      <c r="A31" s="202"/>
      <c r="B31" s="19" t="s">
        <v>99</v>
      </c>
      <c r="C31" s="25" t="s">
        <v>100</v>
      </c>
      <c r="D31" s="21"/>
      <c r="E31" s="21">
        <v>0</v>
      </c>
      <c r="F31" s="21">
        <v>193339.29</v>
      </c>
      <c r="G31" s="21">
        <v>518778.1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712117.39</v>
      </c>
    </row>
    <row r="32" s="5" customFormat="1" ht="17.25" customHeight="1" spans="1:16">
      <c r="A32" s="202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02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02"/>
      <c r="B34" s="19" t="s">
        <v>103</v>
      </c>
      <c r="C34" s="25" t="s">
        <v>104</v>
      </c>
      <c r="D34" s="21">
        <v>10899.38</v>
      </c>
      <c r="E34" s="21">
        <v>0</v>
      </c>
      <c r="F34" s="21">
        <v>8596.27</v>
      </c>
      <c r="G34" s="21">
        <v>12305.34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31800.99</v>
      </c>
    </row>
    <row r="35" s="5" customFormat="1" ht="17.25" customHeight="1" spans="1:16">
      <c r="A35" s="202"/>
      <c r="B35" s="23"/>
      <c r="C35" s="25" t="s">
        <v>105</v>
      </c>
      <c r="D35" s="21"/>
      <c r="E35" s="21">
        <v>0</v>
      </c>
      <c r="F35" s="21">
        <v>0</v>
      </c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02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02"/>
      <c r="B37" s="26" t="s">
        <v>107</v>
      </c>
      <c r="C37" s="25" t="s">
        <v>107</v>
      </c>
      <c r="D37" s="21">
        <v>1176.11</v>
      </c>
      <c r="E37" s="21">
        <v>0</v>
      </c>
      <c r="F37" s="21">
        <v>2508.7</v>
      </c>
      <c r="G37" s="21">
        <v>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3684.81</v>
      </c>
    </row>
    <row r="38" s="5" customFormat="1" ht="17.25" customHeight="1" spans="1:16">
      <c r="A38" s="202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02"/>
      <c r="B39" s="23"/>
      <c r="C39" s="25" t="s">
        <v>110</v>
      </c>
      <c r="D39" s="21"/>
      <c r="E39" s="21">
        <v>0</v>
      </c>
      <c r="F39" s="21">
        <v>0</v>
      </c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03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04" t="s">
        <v>112</v>
      </c>
      <c r="B41" s="30" t="s">
        <v>113</v>
      </c>
      <c r="C41" s="20" t="s">
        <v>113</v>
      </c>
      <c r="D41" s="21">
        <v>1768354.84</v>
      </c>
      <c r="E41" s="21">
        <v>-1764307.38</v>
      </c>
      <c r="F41" s="21">
        <v>48007.37</v>
      </c>
      <c r="G41" s="21">
        <v>171761.48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223816.31</v>
      </c>
    </row>
    <row r="42" s="5" customFormat="1" ht="17.25" customHeight="1" spans="1:16">
      <c r="A42" s="205"/>
      <c r="B42" s="19" t="s">
        <v>114</v>
      </c>
      <c r="C42" s="206" t="s">
        <v>114</v>
      </c>
      <c r="D42" s="21">
        <v>387.64</v>
      </c>
      <c r="E42" s="21">
        <v>0</v>
      </c>
      <c r="F42" s="21">
        <v>521.84</v>
      </c>
      <c r="G42" s="21">
        <v>2140.94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3050.42</v>
      </c>
    </row>
    <row r="43" s="5" customFormat="1" ht="17.25" customHeight="1" spans="1:16">
      <c r="A43" s="205"/>
      <c r="B43" s="19" t="s">
        <v>115</v>
      </c>
      <c r="C43" s="206" t="s">
        <v>115</v>
      </c>
      <c r="D43" s="21">
        <v>106796.12</v>
      </c>
      <c r="E43" s="21">
        <v>0</v>
      </c>
      <c r="F43" s="21">
        <v>0</v>
      </c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106796.12</v>
      </c>
    </row>
    <row r="44" s="5" customFormat="1" ht="17.25" customHeight="1" spans="1:16">
      <c r="A44" s="205"/>
      <c r="B44" s="19" t="s">
        <v>116</v>
      </c>
      <c r="C44" s="206" t="s">
        <v>117</v>
      </c>
      <c r="D44" s="21"/>
      <c r="E44" s="21">
        <v>0</v>
      </c>
      <c r="F44" s="21">
        <v>0</v>
      </c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205"/>
      <c r="B45" s="23"/>
      <c r="C45" s="206" t="s">
        <v>118</v>
      </c>
      <c r="D45" s="21"/>
      <c r="E45" s="21">
        <v>0</v>
      </c>
      <c r="F45" s="21">
        <v>0</v>
      </c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205"/>
      <c r="B46" s="26" t="s">
        <v>119</v>
      </c>
      <c r="C46" s="207" t="s">
        <v>119</v>
      </c>
      <c r="D46" s="21">
        <v>7811.92</v>
      </c>
      <c r="E46" s="21">
        <v>14677.72</v>
      </c>
      <c r="F46" s="21">
        <v>29082.9</v>
      </c>
      <c r="G46" s="21">
        <v>29082.92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80655.46</v>
      </c>
    </row>
    <row r="47" s="5" customFormat="1" ht="17.25" customHeight="1" spans="1:16">
      <c r="A47" s="205"/>
      <c r="B47" s="26" t="s">
        <v>120</v>
      </c>
      <c r="C47" s="207" t="s">
        <v>120</v>
      </c>
      <c r="D47" s="21"/>
      <c r="E47" s="21">
        <v>0</v>
      </c>
      <c r="F47" s="21">
        <v>0</v>
      </c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189" customFormat="1" ht="17.25" customHeight="1" spans="1:16">
      <c r="A48" s="208"/>
      <c r="B48" s="34" t="s">
        <v>121</v>
      </c>
      <c r="C48" s="209" t="s">
        <v>121</v>
      </c>
      <c r="D48" s="21">
        <v>21073.7</v>
      </c>
      <c r="E48" s="21">
        <v>-5836.3</v>
      </c>
      <c r="F48" s="21">
        <v>-83318.64</v>
      </c>
      <c r="G48" s="21">
        <v>43586.43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-24494.81</v>
      </c>
    </row>
    <row r="49" s="5" customFormat="1" ht="17.25" customHeight="1" spans="1:16">
      <c r="A49" s="210" t="s">
        <v>122</v>
      </c>
      <c r="B49" s="37" t="s">
        <v>123</v>
      </c>
      <c r="C49" s="207" t="s">
        <v>124</v>
      </c>
      <c r="D49" s="21"/>
      <c r="E49" s="21">
        <v>0</v>
      </c>
      <c r="F49" s="21">
        <v>0</v>
      </c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211"/>
      <c r="B50" s="38"/>
      <c r="C50" s="207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211"/>
      <c r="B51" s="39"/>
      <c r="C51" s="207" t="s">
        <v>83</v>
      </c>
      <c r="D51" s="21"/>
      <c r="E51" s="21">
        <v>0</v>
      </c>
      <c r="F51" s="21">
        <v>0</v>
      </c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211"/>
      <c r="B52" s="19" t="s">
        <v>126</v>
      </c>
      <c r="C52" s="207" t="s">
        <v>127</v>
      </c>
      <c r="D52" s="21"/>
      <c r="E52" s="21">
        <v>0</v>
      </c>
      <c r="F52" s="21">
        <v>0</v>
      </c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211"/>
      <c r="B53" s="24"/>
      <c r="C53" s="207" t="s">
        <v>128</v>
      </c>
      <c r="D53" s="21"/>
      <c r="E53" s="21">
        <v>0</v>
      </c>
      <c r="F53" s="21">
        <v>0</v>
      </c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211"/>
      <c r="B54" s="23"/>
      <c r="C54" s="207" t="s">
        <v>83</v>
      </c>
      <c r="D54" s="21"/>
      <c r="E54" s="21">
        <v>0</v>
      </c>
      <c r="F54" s="21">
        <v>0</v>
      </c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211"/>
      <c r="B55" s="40" t="s">
        <v>129</v>
      </c>
      <c r="C55" s="207" t="s">
        <v>129</v>
      </c>
      <c r="D55" s="21"/>
      <c r="E55" s="21">
        <v>0</v>
      </c>
      <c r="F55" s="21">
        <v>0</v>
      </c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212"/>
      <c r="B56" s="40" t="s">
        <v>130</v>
      </c>
      <c r="C56" s="207" t="s">
        <v>130</v>
      </c>
      <c r="D56" s="21"/>
      <c r="E56" s="21">
        <v>0</v>
      </c>
      <c r="F56" s="21">
        <v>0</v>
      </c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213" t="s">
        <v>131</v>
      </c>
      <c r="B57" s="26" t="s">
        <v>132</v>
      </c>
      <c r="C57" s="207" t="s">
        <v>132</v>
      </c>
      <c r="D57" s="21"/>
      <c r="E57" s="21">
        <v>0</v>
      </c>
      <c r="F57" s="21">
        <v>0</v>
      </c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214"/>
      <c r="B58" s="37" t="s">
        <v>133</v>
      </c>
      <c r="C58" s="207" t="s">
        <v>133</v>
      </c>
      <c r="D58" s="21"/>
      <c r="E58" s="21">
        <v>-59000</v>
      </c>
      <c r="F58" s="21">
        <v>0</v>
      </c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-59000</v>
      </c>
    </row>
    <row r="59" s="5" customFormat="1" ht="17.25" customHeight="1" spans="1:16">
      <c r="A59" s="214"/>
      <c r="B59" s="37" t="s">
        <v>134</v>
      </c>
      <c r="C59" s="207" t="s">
        <v>135</v>
      </c>
      <c r="D59" s="21"/>
      <c r="E59" s="21">
        <v>0</v>
      </c>
      <c r="F59" s="21">
        <v>0</v>
      </c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214"/>
      <c r="B60" s="39"/>
      <c r="C60" s="207" t="s">
        <v>83</v>
      </c>
      <c r="D60" s="21"/>
      <c r="E60" s="21">
        <v>0</v>
      </c>
      <c r="F60" s="21">
        <v>0</v>
      </c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214"/>
      <c r="B61" s="40" t="s">
        <v>136</v>
      </c>
      <c r="C61" s="207" t="s">
        <v>136</v>
      </c>
      <c r="D61" s="21"/>
      <c r="E61" s="21">
        <v>0</v>
      </c>
      <c r="F61" s="21">
        <v>0</v>
      </c>
      <c r="G61" s="21">
        <v>197.2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197.2</v>
      </c>
    </row>
    <row r="62" s="5" customFormat="1" ht="17.25" customHeight="1" spans="1:16">
      <c r="A62" s="215"/>
      <c r="B62" s="26" t="s">
        <v>137</v>
      </c>
      <c r="C62" s="207" t="s">
        <v>137</v>
      </c>
      <c r="D62" s="21"/>
      <c r="E62" s="21">
        <v>0</v>
      </c>
      <c r="F62" s="21">
        <v>0</v>
      </c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216" t="s">
        <v>138</v>
      </c>
      <c r="B63" s="43" t="s">
        <v>139</v>
      </c>
      <c r="C63" s="207" t="s">
        <v>139</v>
      </c>
      <c r="D63" s="21"/>
      <c r="E63" s="21">
        <v>0</v>
      </c>
      <c r="F63" s="21">
        <v>0</v>
      </c>
      <c r="G63" s="21">
        <v>0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217"/>
      <c r="B64" s="43" t="s">
        <v>140</v>
      </c>
      <c r="C64" s="207" t="s">
        <v>140</v>
      </c>
      <c r="D64" s="21"/>
      <c r="E64" s="21">
        <v>0</v>
      </c>
      <c r="F64" s="21">
        <v>0</v>
      </c>
      <c r="G64" s="21">
        <v>0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217"/>
      <c r="B65" s="43" t="s">
        <v>141</v>
      </c>
      <c r="C65" s="207" t="s">
        <v>141</v>
      </c>
      <c r="D65" s="21"/>
      <c r="E65" s="21">
        <v>0</v>
      </c>
      <c r="F65" s="21">
        <v>0</v>
      </c>
      <c r="G65" s="21">
        <v>190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190</v>
      </c>
    </row>
    <row r="66" s="5" customFormat="1" ht="17.25" customHeight="1" spans="1:16">
      <c r="A66" s="217"/>
      <c r="B66" s="43" t="s">
        <v>142</v>
      </c>
      <c r="C66" s="207" t="s">
        <v>142</v>
      </c>
      <c r="D66" s="21"/>
      <c r="E66" s="21">
        <v>0</v>
      </c>
      <c r="F66" s="21">
        <v>0</v>
      </c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217"/>
      <c r="B67" s="43" t="s">
        <v>143</v>
      </c>
      <c r="C67" s="207" t="s">
        <v>143</v>
      </c>
      <c r="D67" s="21"/>
      <c r="E67" s="21">
        <v>0</v>
      </c>
      <c r="F67" s="21">
        <v>0</v>
      </c>
      <c r="G67" s="21">
        <v>0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217"/>
      <c r="B68" s="37" t="s">
        <v>144</v>
      </c>
      <c r="C68" s="207" t="s">
        <v>145</v>
      </c>
      <c r="D68" s="21">
        <v>3251.4</v>
      </c>
      <c r="E68" s="21">
        <v>1320</v>
      </c>
      <c r="F68" s="21">
        <v>1429</v>
      </c>
      <c r="G68" s="21">
        <v>1434.1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7434.5</v>
      </c>
    </row>
    <row r="69" s="5" customFormat="1" ht="17.25" customHeight="1" spans="1:16">
      <c r="A69" s="217"/>
      <c r="B69" s="39"/>
      <c r="C69" s="207" t="s">
        <v>146</v>
      </c>
      <c r="D69" s="21">
        <v>181785.51</v>
      </c>
      <c r="E69" s="21">
        <v>0</v>
      </c>
      <c r="F69" s="21">
        <v>110526.66</v>
      </c>
      <c r="G69" s="21">
        <v>96800.95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389113.12</v>
      </c>
    </row>
    <row r="70" s="5" customFormat="1" ht="17.25" customHeight="1" spans="1:16">
      <c r="A70" s="217"/>
      <c r="B70" s="37" t="s">
        <v>147</v>
      </c>
      <c r="C70" s="206" t="s">
        <v>147</v>
      </c>
      <c r="D70" s="21"/>
      <c r="E70" s="21">
        <v>0</v>
      </c>
      <c r="F70" s="21">
        <v>77</v>
      </c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77</v>
      </c>
    </row>
    <row r="71" s="5" customFormat="1" ht="17.25" customHeight="1" spans="1:16">
      <c r="A71" s="217"/>
      <c r="B71" s="40" t="s">
        <v>148</v>
      </c>
      <c r="C71" s="207" t="s">
        <v>148</v>
      </c>
      <c r="D71" s="21"/>
      <c r="E71" s="21">
        <v>0</v>
      </c>
      <c r="F71" s="21">
        <v>0</v>
      </c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2" si="1">SUM(D71:O71)</f>
        <v>0</v>
      </c>
    </row>
    <row r="72" s="5" customFormat="1" ht="17.25" customHeight="1" spans="1:16">
      <c r="A72" s="217"/>
      <c r="B72" s="40" t="s">
        <v>149</v>
      </c>
      <c r="C72" s="207" t="s">
        <v>149</v>
      </c>
      <c r="D72" s="21"/>
      <c r="E72" s="21">
        <v>0</v>
      </c>
      <c r="F72" s="21">
        <v>0</v>
      </c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217"/>
      <c r="B73" s="37" t="s">
        <v>150</v>
      </c>
      <c r="C73" s="207" t="s">
        <v>151</v>
      </c>
      <c r="D73" s="21"/>
      <c r="E73" s="21">
        <v>0</v>
      </c>
      <c r="F73" s="21">
        <v>0</v>
      </c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217"/>
      <c r="B74" s="39"/>
      <c r="C74" s="218" t="s">
        <v>152</v>
      </c>
      <c r="D74" s="21"/>
      <c r="E74" s="21">
        <v>0</v>
      </c>
      <c r="F74" s="21">
        <v>0</v>
      </c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219"/>
      <c r="B75" s="40" t="s">
        <v>153</v>
      </c>
      <c r="C75" s="207" t="s">
        <v>153</v>
      </c>
      <c r="D75" s="21"/>
      <c r="E75" s="21">
        <v>0</v>
      </c>
      <c r="F75" s="21">
        <v>0</v>
      </c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220" t="s">
        <v>154</v>
      </c>
      <c r="B76" s="19" t="s">
        <v>155</v>
      </c>
      <c r="C76" s="206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221"/>
      <c r="B77" s="19" t="s">
        <v>156</v>
      </c>
      <c r="C77" s="207" t="s">
        <v>157</v>
      </c>
      <c r="D77" s="21"/>
      <c r="E77" s="21">
        <v>0</v>
      </c>
      <c r="F77" s="21">
        <v>0</v>
      </c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221"/>
      <c r="B78" s="23"/>
      <c r="C78" s="218" t="s">
        <v>158</v>
      </c>
      <c r="D78" s="21"/>
      <c r="E78" s="21">
        <v>0</v>
      </c>
      <c r="F78" s="21">
        <v>0</v>
      </c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222"/>
      <c r="B79" s="26" t="s">
        <v>159</v>
      </c>
      <c r="C79" s="207" t="s">
        <v>159</v>
      </c>
      <c r="D79" s="21"/>
      <c r="E79" s="21">
        <v>0</v>
      </c>
      <c r="F79" s="21">
        <v>140</v>
      </c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140</v>
      </c>
    </row>
    <row r="80" s="5" customFormat="1" ht="17.25" customHeight="1" spans="1:16">
      <c r="A80" s="223" t="s">
        <v>160</v>
      </c>
      <c r="B80" s="26" t="s">
        <v>161</v>
      </c>
      <c r="C80" s="207" t="s">
        <v>161</v>
      </c>
      <c r="D80" s="21"/>
      <c r="E80" s="21">
        <v>0</v>
      </c>
      <c r="F80" s="21">
        <v>85.05</v>
      </c>
      <c r="G80" s="21">
        <v>9.71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94.76</v>
      </c>
    </row>
    <row r="81" s="5" customFormat="1" ht="17.25" customHeight="1" spans="1:16">
      <c r="A81" s="224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224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224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224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225"/>
      <c r="B85" s="26" t="s">
        <v>167</v>
      </c>
      <c r="C85" s="207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226" t="s">
        <v>168</v>
      </c>
      <c r="B86" s="26" t="s">
        <v>169</v>
      </c>
      <c r="C86" s="207" t="s">
        <v>169</v>
      </c>
      <c r="D86" s="21"/>
      <c r="E86" s="21">
        <v>0</v>
      </c>
      <c r="F86" s="21">
        <v>0</v>
      </c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227"/>
      <c r="B87" s="26" t="s">
        <v>170</v>
      </c>
      <c r="C87" s="207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227"/>
      <c r="B88" s="26" t="s">
        <v>171</v>
      </c>
      <c r="C88" s="207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228"/>
      <c r="B89" s="26" t="s">
        <v>172</v>
      </c>
      <c r="C89" s="207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229" t="s">
        <v>173</v>
      </c>
      <c r="B90" s="26" t="s">
        <v>174</v>
      </c>
      <c r="C90" s="207" t="s">
        <v>174</v>
      </c>
      <c r="D90" s="21"/>
      <c r="E90" s="21">
        <v>0</v>
      </c>
      <c r="F90" s="21">
        <v>0</v>
      </c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230"/>
      <c r="B91" s="26" t="s">
        <v>175</v>
      </c>
      <c r="C91" s="207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231"/>
      <c r="B92" s="26" t="s">
        <v>83</v>
      </c>
      <c r="C92" s="207" t="s">
        <v>83</v>
      </c>
      <c r="D92" s="21"/>
      <c r="E92" s="21">
        <v>442.66</v>
      </c>
      <c r="F92" s="21">
        <v>40388.75</v>
      </c>
      <c r="G92" s="21">
        <v>4158.7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44990.11</v>
      </c>
    </row>
    <row r="93" s="7" customFormat="1" ht="15" customHeight="1" spans="1:16">
      <c r="A93" s="232" t="s">
        <v>12</v>
      </c>
      <c r="B93" s="233"/>
      <c r="C93" s="234"/>
      <c r="D93" s="58">
        <f>SUM(D6:D92)</f>
        <v>2222562.18</v>
      </c>
      <c r="E93" s="58">
        <f t="shared" ref="E93:P93" si="2">SUM(E6:E92)</f>
        <v>-1705335.54</v>
      </c>
      <c r="F93" s="58">
        <f t="shared" si="2"/>
        <v>488227.25</v>
      </c>
      <c r="G93" s="58">
        <f t="shared" si="2"/>
        <v>1073250.93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58">
        <f t="shared" si="2"/>
        <v>2078704.82</v>
      </c>
    </row>
    <row r="94" s="7" customFormat="1" ht="15" customHeight="1" spans="1:16">
      <c r="A94" s="61" t="s">
        <v>176</v>
      </c>
      <c r="B94" s="62"/>
      <c r="C94" s="63"/>
      <c r="D94" s="235"/>
      <c r="E94" s="47"/>
      <c r="F94" s="47"/>
      <c r="G94" s="236"/>
      <c r="H94" s="236"/>
      <c r="I94" s="236"/>
      <c r="J94" s="236"/>
      <c r="K94" s="236"/>
      <c r="L94" s="236"/>
      <c r="M94" s="236"/>
      <c r="N94" s="236"/>
      <c r="O94" s="236"/>
      <c r="P94" s="47">
        <f>SUM(D94:O94)</f>
        <v>0</v>
      </c>
    </row>
    <row r="95" s="7" customFormat="1" ht="15" customHeight="1" spans="1:16">
      <c r="A95" s="61"/>
      <c r="B95" s="237" t="s">
        <v>308</v>
      </c>
      <c r="C95" s="63"/>
      <c r="D95" s="235"/>
      <c r="E95" s="47"/>
      <c r="F95" s="47"/>
      <c r="G95" s="236"/>
      <c r="H95" s="236"/>
      <c r="I95" s="236"/>
      <c r="J95" s="236"/>
      <c r="K95" s="236"/>
      <c r="L95" s="236"/>
      <c r="M95" s="236"/>
      <c r="N95" s="236"/>
      <c r="O95" s="236"/>
      <c r="P95" s="47">
        <f t="shared" ref="P95:P103" si="3">SUM(D95:O95)</f>
        <v>0</v>
      </c>
    </row>
    <row r="96" s="7" customFormat="1" ht="15" customHeight="1" spans="1:16">
      <c r="A96" s="61" t="s">
        <v>177</v>
      </c>
      <c r="B96" s="62"/>
      <c r="C96" s="63"/>
      <c r="D96" s="235"/>
      <c r="E96" s="47"/>
      <c r="F96" s="47"/>
      <c r="G96" s="236"/>
      <c r="H96" s="236"/>
      <c r="I96" s="236"/>
      <c r="J96" s="236"/>
      <c r="K96" s="236"/>
      <c r="L96" s="236"/>
      <c r="M96" s="236"/>
      <c r="N96" s="236"/>
      <c r="O96" s="236"/>
      <c r="P96" s="47">
        <f t="shared" si="3"/>
        <v>0</v>
      </c>
    </row>
    <row r="97" s="7" customFormat="1" ht="15" customHeight="1" spans="1:16">
      <c r="A97" s="61"/>
      <c r="B97" s="237" t="s">
        <v>308</v>
      </c>
      <c r="C97" s="63"/>
      <c r="D97" s="235"/>
      <c r="E97" s="47"/>
      <c r="F97" s="47"/>
      <c r="G97" s="236"/>
      <c r="H97" s="236"/>
      <c r="I97" s="236"/>
      <c r="J97" s="236"/>
      <c r="K97" s="236"/>
      <c r="L97" s="236"/>
      <c r="M97" s="236"/>
      <c r="N97" s="236"/>
      <c r="O97" s="236"/>
      <c r="P97" s="47">
        <f t="shared" si="3"/>
        <v>0</v>
      </c>
    </row>
    <row r="98" s="7" customFormat="1" ht="15" customHeight="1" spans="1:16">
      <c r="A98" s="61" t="s">
        <v>178</v>
      </c>
      <c r="B98" s="62"/>
      <c r="C98" s="63"/>
      <c r="D98" s="47">
        <f>D93</f>
        <v>2222562.18</v>
      </c>
      <c r="E98" s="47">
        <f t="shared" ref="E98:O98" si="4">E93</f>
        <v>-1705335.54</v>
      </c>
      <c r="F98" s="47">
        <f t="shared" si="4"/>
        <v>488227.25</v>
      </c>
      <c r="G98" s="47">
        <f t="shared" si="4"/>
        <v>1073250.93</v>
      </c>
      <c r="H98" s="47">
        <f t="shared" si="4"/>
        <v>0</v>
      </c>
      <c r="I98" s="47">
        <f t="shared" si="4"/>
        <v>0</v>
      </c>
      <c r="J98" s="47">
        <f t="shared" si="4"/>
        <v>0</v>
      </c>
      <c r="K98" s="47">
        <f t="shared" si="4"/>
        <v>0</v>
      </c>
      <c r="L98" s="47">
        <f t="shared" si="4"/>
        <v>0</v>
      </c>
      <c r="M98" s="47">
        <f t="shared" si="4"/>
        <v>0</v>
      </c>
      <c r="N98" s="47">
        <f t="shared" si="4"/>
        <v>0</v>
      </c>
      <c r="O98" s="47">
        <f t="shared" si="4"/>
        <v>0</v>
      </c>
      <c r="P98" s="47">
        <f t="shared" si="3"/>
        <v>2078704.82</v>
      </c>
    </row>
    <row r="99" s="7" customFormat="1" ht="15" customHeight="1" spans="1:16">
      <c r="A99" s="61"/>
      <c r="B99" s="237" t="s">
        <v>308</v>
      </c>
      <c r="C99" s="63"/>
      <c r="D99" s="47">
        <f>D68+D69</f>
        <v>185036.91</v>
      </c>
      <c r="E99" s="47">
        <f t="shared" ref="E99:O99" si="5">E68+E69</f>
        <v>1320</v>
      </c>
      <c r="F99" s="47">
        <f t="shared" si="5"/>
        <v>111955.66</v>
      </c>
      <c r="G99" s="47">
        <f t="shared" si="5"/>
        <v>98235.05</v>
      </c>
      <c r="H99" s="47">
        <f t="shared" si="5"/>
        <v>0</v>
      </c>
      <c r="I99" s="47">
        <f t="shared" si="5"/>
        <v>0</v>
      </c>
      <c r="J99" s="47">
        <f t="shared" si="5"/>
        <v>0</v>
      </c>
      <c r="K99" s="47">
        <f t="shared" si="5"/>
        <v>0</v>
      </c>
      <c r="L99" s="47">
        <f t="shared" si="5"/>
        <v>0</v>
      </c>
      <c r="M99" s="47">
        <f t="shared" si="5"/>
        <v>0</v>
      </c>
      <c r="N99" s="47">
        <f t="shared" si="5"/>
        <v>0</v>
      </c>
      <c r="O99" s="47">
        <f t="shared" si="5"/>
        <v>0</v>
      </c>
      <c r="P99" s="47">
        <f t="shared" si="3"/>
        <v>396547.62</v>
      </c>
    </row>
    <row r="100" s="7" customFormat="1" ht="15" customHeight="1" spans="1:16">
      <c r="A100" s="61" t="s">
        <v>179</v>
      </c>
      <c r="B100" s="62"/>
      <c r="C100" s="63"/>
      <c r="D100" s="47"/>
      <c r="E100" s="47"/>
      <c r="F100" s="47"/>
      <c r="G100" s="236"/>
      <c r="H100" s="236"/>
      <c r="I100" s="236"/>
      <c r="J100" s="236"/>
      <c r="K100" s="236"/>
      <c r="L100" s="236"/>
      <c r="M100" s="236"/>
      <c r="N100" s="236"/>
      <c r="O100" s="236"/>
      <c r="P100" s="47">
        <f t="shared" si="3"/>
        <v>0</v>
      </c>
    </row>
    <row r="101" s="7" customFormat="1" ht="15" customHeight="1" spans="1:16">
      <c r="A101" s="61"/>
      <c r="B101" s="237" t="s">
        <v>308</v>
      </c>
      <c r="C101" s="63"/>
      <c r="D101" s="47"/>
      <c r="E101" s="47"/>
      <c r="F101" s="47"/>
      <c r="G101" s="236"/>
      <c r="H101" s="236"/>
      <c r="I101" s="236"/>
      <c r="J101" s="236"/>
      <c r="K101" s="236"/>
      <c r="L101" s="236"/>
      <c r="M101" s="236"/>
      <c r="N101" s="236"/>
      <c r="O101" s="236"/>
      <c r="P101" s="47">
        <f t="shared" si="3"/>
        <v>0</v>
      </c>
    </row>
    <row r="102" s="7" customFormat="1" ht="15" customHeight="1" spans="1:16">
      <c r="A102" s="61" t="s">
        <v>180</v>
      </c>
      <c r="B102" s="62"/>
      <c r="C102" s="63"/>
      <c r="D102" s="47"/>
      <c r="E102" s="47"/>
      <c r="F102" s="47"/>
      <c r="G102" s="74"/>
      <c r="H102" s="236"/>
      <c r="I102" s="236"/>
      <c r="J102" s="236"/>
      <c r="K102" s="236"/>
      <c r="L102" s="236"/>
      <c r="M102" s="236"/>
      <c r="N102" s="236"/>
      <c r="O102" s="236"/>
      <c r="P102" s="47">
        <f t="shared" si="3"/>
        <v>0</v>
      </c>
    </row>
    <row r="103" s="7" customFormat="1" ht="15" customHeight="1" spans="1:16">
      <c r="A103" s="61"/>
      <c r="B103" s="237" t="s">
        <v>308</v>
      </c>
      <c r="C103" s="63"/>
      <c r="D103" s="47"/>
      <c r="E103" s="47"/>
      <c r="F103" s="47"/>
      <c r="G103" s="47"/>
      <c r="H103" s="47"/>
      <c r="I103" s="47"/>
      <c r="J103" s="47"/>
      <c r="K103" s="47"/>
      <c r="L103" s="236"/>
      <c r="M103" s="236"/>
      <c r="N103" s="236"/>
      <c r="O103" s="236"/>
      <c r="P103" s="47">
        <f t="shared" si="3"/>
        <v>0</v>
      </c>
    </row>
    <row r="104" s="190" customFormat="1" ht="15" customHeight="1" spans="1:6">
      <c r="A104" s="190" t="s">
        <v>181</v>
      </c>
      <c r="E104" s="6"/>
      <c r="F104" s="238"/>
    </row>
    <row r="105" ht="19.5" customHeight="1" spans="1:16">
      <c r="A105" s="190"/>
      <c r="D105" s="239" t="b">
        <f>SUM(D94,D96,D98,D100,D102)=D93</f>
        <v>1</v>
      </c>
      <c r="E105" s="239" t="b">
        <f t="shared" ref="E105:P105" si="6">SUM(E94,E96,E98,E100,E102)=E93</f>
        <v>1</v>
      </c>
      <c r="F105" s="239" t="b">
        <f t="shared" si="6"/>
        <v>1</v>
      </c>
      <c r="G105" s="239" t="b">
        <f t="shared" si="6"/>
        <v>1</v>
      </c>
      <c r="H105" s="239" t="b">
        <f t="shared" si="6"/>
        <v>1</v>
      </c>
      <c r="I105" s="239" t="b">
        <f t="shared" si="6"/>
        <v>1</v>
      </c>
      <c r="J105" s="239" t="b">
        <f t="shared" si="6"/>
        <v>1</v>
      </c>
      <c r="K105" s="239" t="b">
        <f t="shared" si="6"/>
        <v>1</v>
      </c>
      <c r="L105" s="239" t="b">
        <f t="shared" si="6"/>
        <v>1</v>
      </c>
      <c r="M105" s="239" t="b">
        <f t="shared" si="6"/>
        <v>1</v>
      </c>
      <c r="N105" s="239" t="b">
        <f t="shared" si="6"/>
        <v>1</v>
      </c>
      <c r="O105" s="239" t="b">
        <f t="shared" si="6"/>
        <v>1</v>
      </c>
      <c r="P105" s="239" t="b">
        <f t="shared" si="6"/>
        <v>1</v>
      </c>
    </row>
    <row r="106" s="6" customFormat="1" ht="13.5" spans="4:16">
      <c r="D106" s="240" t="b">
        <f>(D95+D97+D99+D101+D103)=(D68+D69)</f>
        <v>1</v>
      </c>
      <c r="E106" s="240" t="b">
        <f t="shared" ref="E106:P106" si="7">(E95+E97+E99+E101+E103)=(E68+E69)</f>
        <v>1</v>
      </c>
      <c r="F106" s="240" t="b">
        <f t="shared" si="7"/>
        <v>1</v>
      </c>
      <c r="G106" s="240" t="b">
        <f t="shared" si="7"/>
        <v>1</v>
      </c>
      <c r="H106" s="240" t="b">
        <f t="shared" si="7"/>
        <v>1</v>
      </c>
      <c r="I106" s="240" t="b">
        <f t="shared" si="7"/>
        <v>1</v>
      </c>
      <c r="J106" s="240" t="b">
        <f t="shared" si="7"/>
        <v>1</v>
      </c>
      <c r="K106" s="240" t="b">
        <f t="shared" si="7"/>
        <v>1</v>
      </c>
      <c r="L106" s="240" t="b">
        <f t="shared" si="7"/>
        <v>1</v>
      </c>
      <c r="M106" s="240" t="b">
        <f t="shared" si="7"/>
        <v>1</v>
      </c>
      <c r="N106" s="240" t="b">
        <f t="shared" si="7"/>
        <v>1</v>
      </c>
      <c r="O106" s="240" t="b">
        <f t="shared" si="7"/>
        <v>1</v>
      </c>
      <c r="P106" s="240" t="b">
        <f t="shared" si="7"/>
        <v>1</v>
      </c>
    </row>
    <row r="107" spans="9:14">
      <c r="I107" s="68"/>
      <c r="N107" s="10">
        <f>N103+N101+N99+N97+N95-N68-N69</f>
        <v>0</v>
      </c>
    </row>
    <row r="108" spans="7:16">
      <c r="G108" s="68">
        <f t="shared" ref="G108" si="8">G102+G100+G98+G96+G94-G93</f>
        <v>0</v>
      </c>
      <c r="P108" s="242">
        <v>26781378.54</v>
      </c>
    </row>
    <row r="109" spans="16:16">
      <c r="P109" s="242">
        <f>P108-P93</f>
        <v>24702673.72</v>
      </c>
    </row>
    <row r="110" s="6" customFormat="1" ht="12" spans="4:4">
      <c r="D110" s="241"/>
    </row>
  </sheetData>
  <autoFilter ref="B5:P103">
    <extLst/>
  </autoFilter>
  <mergeCells count="37">
    <mergeCell ref="A1:D1"/>
    <mergeCell ref="D4:O4"/>
    <mergeCell ref="A93:C93"/>
    <mergeCell ref="A94:C94"/>
    <mergeCell ref="A96:C96"/>
    <mergeCell ref="A98:C98"/>
    <mergeCell ref="A100:C100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6:P106">
    <cfRule type="cellIs" dxfId="0" priority="1" stopIfTrue="1" operator="equal">
      <formula>"no"</formula>
    </cfRule>
  </conditionalFormatting>
  <conditionalFormatting sqref="A41:L41 O41:XFD41">
    <cfRule type="cellIs" dxfId="0" priority="6" stopIfTrue="1" operator="equal">
      <formula>"no"</formula>
    </cfRule>
    <cfRule type="cellIs" dxfId="0" priority="7" stopIfTrue="1" operator="equal">
      <formula>"no"</formula>
    </cfRule>
  </conditionalFormatting>
  <conditionalFormatting sqref="O41:XFD41 A41:D41 H41:L41">
    <cfRule type="cellIs" dxfId="0" priority="5" stopIfTrue="1" operator="equal">
      <formula>"no"</formula>
    </cfRule>
  </conditionalFormatting>
  <conditionalFormatting sqref="A41:C41 E41:IF41">
    <cfRule type="cellIs" dxfId="0" priority="4" stopIfTrue="1" operator="equal">
      <formula>"no"</formula>
    </cfRule>
  </conditionalFormatting>
  <conditionalFormatting sqref="A106:C106 Q106:IK106">
    <cfRule type="cellIs" dxfId="0" priority="3" stopIfTrue="1" operator="equal">
      <formula>"no"</formula>
    </cfRule>
  </conditionalFormatting>
  <pageMargins left="0.75" right="0.75" top="1" bottom="1" header="0.5" footer="0.5"/>
  <pageSetup paperSize="9" orientation="portrait" horizontalDpi="1200" verticalDpi="1200"/>
  <headerFooter alignWithMargins="0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Q46"/>
  <sheetViews>
    <sheetView workbookViewId="0">
      <pane xSplit="2" ySplit="5" topLeftCell="C16" activePane="bottomRight" state="frozen"/>
      <selection/>
      <selection pane="topRight"/>
      <selection pane="bottomLeft"/>
      <selection pane="bottomRight" activeCell="A1" sqref="A1:C1"/>
    </sheetView>
  </sheetViews>
  <sheetFormatPr defaultColWidth="9" defaultRowHeight="12.75"/>
  <cols>
    <col min="1" max="1" width="16.25" style="143" customWidth="1"/>
    <col min="2" max="3" width="12.5" style="143" customWidth="1"/>
    <col min="4" max="4" width="11.75" style="143" customWidth="1"/>
    <col min="5" max="5" width="12.375" style="143" customWidth="1"/>
    <col min="6" max="11" width="11.75" style="143" customWidth="1"/>
    <col min="12" max="12" width="12.5" style="143" customWidth="1"/>
    <col min="13" max="14" width="11.75" style="143" customWidth="1"/>
    <col min="15" max="15" width="14.5" style="167" customWidth="1"/>
    <col min="16" max="16" width="9" style="143"/>
    <col min="17" max="17" width="12.625" style="143" customWidth="1"/>
    <col min="18" max="243" width="9" style="143"/>
    <col min="244" max="244" width="16.25" style="143" customWidth="1"/>
    <col min="245" max="245" width="12.5" style="143" customWidth="1"/>
    <col min="246" max="246" width="9" style="143" hidden="1" customWidth="1"/>
    <col min="247" max="256" width="11" style="143" customWidth="1"/>
    <col min="257" max="257" width="25.75" style="143" customWidth="1"/>
    <col min="258" max="499" width="9" style="143"/>
    <col min="500" max="500" width="16.25" style="143" customWidth="1"/>
    <col min="501" max="501" width="12.5" style="143" customWidth="1"/>
    <col min="502" max="502" width="9" style="143" hidden="1" customWidth="1"/>
    <col min="503" max="512" width="11" style="143" customWidth="1"/>
    <col min="513" max="513" width="25.75" style="143" customWidth="1"/>
    <col min="514" max="755" width="9" style="143"/>
    <col min="756" max="756" width="16.25" style="143" customWidth="1"/>
    <col min="757" max="757" width="12.5" style="143" customWidth="1"/>
    <col min="758" max="758" width="9" style="143" hidden="1" customWidth="1"/>
    <col min="759" max="768" width="11" style="143" customWidth="1"/>
    <col min="769" max="769" width="25.75" style="143" customWidth="1"/>
    <col min="770" max="1011" width="9" style="143"/>
    <col min="1012" max="1012" width="16.25" style="143" customWidth="1"/>
    <col min="1013" max="1013" width="12.5" style="143" customWidth="1"/>
    <col min="1014" max="1014" width="9" style="143" hidden="1" customWidth="1"/>
    <col min="1015" max="1024" width="11" style="143" customWidth="1"/>
    <col min="1025" max="1025" width="25.75" style="143" customWidth="1"/>
    <col min="1026" max="1267" width="9" style="143"/>
    <col min="1268" max="1268" width="16.25" style="143" customWidth="1"/>
    <col min="1269" max="1269" width="12.5" style="143" customWidth="1"/>
    <col min="1270" max="1270" width="9" style="143" hidden="1" customWidth="1"/>
    <col min="1271" max="1280" width="11" style="143" customWidth="1"/>
    <col min="1281" max="1281" width="25.75" style="143" customWidth="1"/>
    <col min="1282" max="1523" width="9" style="143"/>
    <col min="1524" max="1524" width="16.25" style="143" customWidth="1"/>
    <col min="1525" max="1525" width="12.5" style="143" customWidth="1"/>
    <col min="1526" max="1526" width="9" style="143" hidden="1" customWidth="1"/>
    <col min="1527" max="1536" width="11" style="143" customWidth="1"/>
    <col min="1537" max="1537" width="25.75" style="143" customWidth="1"/>
    <col min="1538" max="1779" width="9" style="143"/>
    <col min="1780" max="1780" width="16.25" style="143" customWidth="1"/>
    <col min="1781" max="1781" width="12.5" style="143" customWidth="1"/>
    <col min="1782" max="1782" width="9" style="143" hidden="1" customWidth="1"/>
    <col min="1783" max="1792" width="11" style="143" customWidth="1"/>
    <col min="1793" max="1793" width="25.75" style="143" customWidth="1"/>
    <col min="1794" max="2035" width="9" style="143"/>
    <col min="2036" max="2036" width="16.25" style="143" customWidth="1"/>
    <col min="2037" max="2037" width="12.5" style="143" customWidth="1"/>
    <col min="2038" max="2038" width="9" style="143" hidden="1" customWidth="1"/>
    <col min="2039" max="2048" width="11" style="143" customWidth="1"/>
    <col min="2049" max="2049" width="25.75" style="143" customWidth="1"/>
    <col min="2050" max="2291" width="9" style="143"/>
    <col min="2292" max="2292" width="16.25" style="143" customWidth="1"/>
    <col min="2293" max="2293" width="12.5" style="143" customWidth="1"/>
    <col min="2294" max="2294" width="9" style="143" hidden="1" customWidth="1"/>
    <col min="2295" max="2304" width="11" style="143" customWidth="1"/>
    <col min="2305" max="2305" width="25.75" style="143" customWidth="1"/>
    <col min="2306" max="2547" width="9" style="143"/>
    <col min="2548" max="2548" width="16.25" style="143" customWidth="1"/>
    <col min="2549" max="2549" width="12.5" style="143" customWidth="1"/>
    <col min="2550" max="2550" width="9" style="143" hidden="1" customWidth="1"/>
    <col min="2551" max="2560" width="11" style="143" customWidth="1"/>
    <col min="2561" max="2561" width="25.75" style="143" customWidth="1"/>
    <col min="2562" max="2803" width="9" style="143"/>
    <col min="2804" max="2804" width="16.25" style="143" customWidth="1"/>
    <col min="2805" max="2805" width="12.5" style="143" customWidth="1"/>
    <col min="2806" max="2806" width="9" style="143" hidden="1" customWidth="1"/>
    <col min="2807" max="2816" width="11" style="143" customWidth="1"/>
    <col min="2817" max="2817" width="25.75" style="143" customWidth="1"/>
    <col min="2818" max="3059" width="9" style="143"/>
    <col min="3060" max="3060" width="16.25" style="143" customWidth="1"/>
    <col min="3061" max="3061" width="12.5" style="143" customWidth="1"/>
    <col min="3062" max="3062" width="9" style="143" hidden="1" customWidth="1"/>
    <col min="3063" max="3072" width="11" style="143" customWidth="1"/>
    <col min="3073" max="3073" width="25.75" style="143" customWidth="1"/>
    <col min="3074" max="3315" width="9" style="143"/>
    <col min="3316" max="3316" width="16.25" style="143" customWidth="1"/>
    <col min="3317" max="3317" width="12.5" style="143" customWidth="1"/>
    <col min="3318" max="3318" width="9" style="143" hidden="1" customWidth="1"/>
    <col min="3319" max="3328" width="11" style="143" customWidth="1"/>
    <col min="3329" max="3329" width="25.75" style="143" customWidth="1"/>
    <col min="3330" max="3571" width="9" style="143"/>
    <col min="3572" max="3572" width="16.25" style="143" customWidth="1"/>
    <col min="3573" max="3573" width="12.5" style="143" customWidth="1"/>
    <col min="3574" max="3574" width="9" style="143" hidden="1" customWidth="1"/>
    <col min="3575" max="3584" width="11" style="143" customWidth="1"/>
    <col min="3585" max="3585" width="25.75" style="143" customWidth="1"/>
    <col min="3586" max="3827" width="9" style="143"/>
    <col min="3828" max="3828" width="16.25" style="143" customWidth="1"/>
    <col min="3829" max="3829" width="12.5" style="143" customWidth="1"/>
    <col min="3830" max="3830" width="9" style="143" hidden="1" customWidth="1"/>
    <col min="3831" max="3840" width="11" style="143" customWidth="1"/>
    <col min="3841" max="3841" width="25.75" style="143" customWidth="1"/>
    <col min="3842" max="4083" width="9" style="143"/>
    <col min="4084" max="4084" width="16.25" style="143" customWidth="1"/>
    <col min="4085" max="4085" width="12.5" style="143" customWidth="1"/>
    <col min="4086" max="4086" width="9" style="143" hidden="1" customWidth="1"/>
    <col min="4087" max="4096" width="11" style="143" customWidth="1"/>
    <col min="4097" max="4097" width="25.75" style="143" customWidth="1"/>
    <col min="4098" max="4339" width="9" style="143"/>
    <col min="4340" max="4340" width="16.25" style="143" customWidth="1"/>
    <col min="4341" max="4341" width="12.5" style="143" customWidth="1"/>
    <col min="4342" max="4342" width="9" style="143" hidden="1" customWidth="1"/>
    <col min="4343" max="4352" width="11" style="143" customWidth="1"/>
    <col min="4353" max="4353" width="25.75" style="143" customWidth="1"/>
    <col min="4354" max="4595" width="9" style="143"/>
    <col min="4596" max="4596" width="16.25" style="143" customWidth="1"/>
    <col min="4597" max="4597" width="12.5" style="143" customWidth="1"/>
    <col min="4598" max="4598" width="9" style="143" hidden="1" customWidth="1"/>
    <col min="4599" max="4608" width="11" style="143" customWidth="1"/>
    <col min="4609" max="4609" width="25.75" style="143" customWidth="1"/>
    <col min="4610" max="4851" width="9" style="143"/>
    <col min="4852" max="4852" width="16.25" style="143" customWidth="1"/>
    <col min="4853" max="4853" width="12.5" style="143" customWidth="1"/>
    <col min="4854" max="4854" width="9" style="143" hidden="1" customWidth="1"/>
    <col min="4855" max="4864" width="11" style="143" customWidth="1"/>
    <col min="4865" max="4865" width="25.75" style="143" customWidth="1"/>
    <col min="4866" max="5107" width="9" style="143"/>
    <col min="5108" max="5108" width="16.25" style="143" customWidth="1"/>
    <col min="5109" max="5109" width="12.5" style="143" customWidth="1"/>
    <col min="5110" max="5110" width="9" style="143" hidden="1" customWidth="1"/>
    <col min="5111" max="5120" width="11" style="143" customWidth="1"/>
    <col min="5121" max="5121" width="25.75" style="143" customWidth="1"/>
    <col min="5122" max="5363" width="9" style="143"/>
    <col min="5364" max="5364" width="16.25" style="143" customWidth="1"/>
    <col min="5365" max="5365" width="12.5" style="143" customWidth="1"/>
    <col min="5366" max="5366" width="9" style="143" hidden="1" customWidth="1"/>
    <col min="5367" max="5376" width="11" style="143" customWidth="1"/>
    <col min="5377" max="5377" width="25.75" style="143" customWidth="1"/>
    <col min="5378" max="5619" width="9" style="143"/>
    <col min="5620" max="5620" width="16.25" style="143" customWidth="1"/>
    <col min="5621" max="5621" width="12.5" style="143" customWidth="1"/>
    <col min="5622" max="5622" width="9" style="143" hidden="1" customWidth="1"/>
    <col min="5623" max="5632" width="11" style="143" customWidth="1"/>
    <col min="5633" max="5633" width="25.75" style="143" customWidth="1"/>
    <col min="5634" max="5875" width="9" style="143"/>
    <col min="5876" max="5876" width="16.25" style="143" customWidth="1"/>
    <col min="5877" max="5877" width="12.5" style="143" customWidth="1"/>
    <col min="5878" max="5878" width="9" style="143" hidden="1" customWidth="1"/>
    <col min="5879" max="5888" width="11" style="143" customWidth="1"/>
    <col min="5889" max="5889" width="25.75" style="143" customWidth="1"/>
    <col min="5890" max="6131" width="9" style="143"/>
    <col min="6132" max="6132" width="16.25" style="143" customWidth="1"/>
    <col min="6133" max="6133" width="12.5" style="143" customWidth="1"/>
    <col min="6134" max="6134" width="9" style="143" hidden="1" customWidth="1"/>
    <col min="6135" max="6144" width="11" style="143" customWidth="1"/>
    <col min="6145" max="6145" width="25.75" style="143" customWidth="1"/>
    <col min="6146" max="6387" width="9" style="143"/>
    <col min="6388" max="6388" width="16.25" style="143" customWidth="1"/>
    <col min="6389" max="6389" width="12.5" style="143" customWidth="1"/>
    <col min="6390" max="6390" width="9" style="143" hidden="1" customWidth="1"/>
    <col min="6391" max="6400" width="11" style="143" customWidth="1"/>
    <col min="6401" max="6401" width="25.75" style="143" customWidth="1"/>
    <col min="6402" max="6643" width="9" style="143"/>
    <col min="6644" max="6644" width="16.25" style="143" customWidth="1"/>
    <col min="6645" max="6645" width="12.5" style="143" customWidth="1"/>
    <col min="6646" max="6646" width="9" style="143" hidden="1" customWidth="1"/>
    <col min="6647" max="6656" width="11" style="143" customWidth="1"/>
    <col min="6657" max="6657" width="25.75" style="143" customWidth="1"/>
    <col min="6658" max="6899" width="9" style="143"/>
    <col min="6900" max="6900" width="16.25" style="143" customWidth="1"/>
    <col min="6901" max="6901" width="12.5" style="143" customWidth="1"/>
    <col min="6902" max="6902" width="9" style="143" hidden="1" customWidth="1"/>
    <col min="6903" max="6912" width="11" style="143" customWidth="1"/>
    <col min="6913" max="6913" width="25.75" style="143" customWidth="1"/>
    <col min="6914" max="7155" width="9" style="143"/>
    <col min="7156" max="7156" width="16.25" style="143" customWidth="1"/>
    <col min="7157" max="7157" width="12.5" style="143" customWidth="1"/>
    <col min="7158" max="7158" width="9" style="143" hidden="1" customWidth="1"/>
    <col min="7159" max="7168" width="11" style="143" customWidth="1"/>
    <col min="7169" max="7169" width="25.75" style="143" customWidth="1"/>
    <col min="7170" max="7411" width="9" style="143"/>
    <col min="7412" max="7412" width="16.25" style="143" customWidth="1"/>
    <col min="7413" max="7413" width="12.5" style="143" customWidth="1"/>
    <col min="7414" max="7414" width="9" style="143" hidden="1" customWidth="1"/>
    <col min="7415" max="7424" width="11" style="143" customWidth="1"/>
    <col min="7425" max="7425" width="25.75" style="143" customWidth="1"/>
    <col min="7426" max="7667" width="9" style="143"/>
    <col min="7668" max="7668" width="16.25" style="143" customWidth="1"/>
    <col min="7669" max="7669" width="12.5" style="143" customWidth="1"/>
    <col min="7670" max="7670" width="9" style="143" hidden="1" customWidth="1"/>
    <col min="7671" max="7680" width="11" style="143" customWidth="1"/>
    <col min="7681" max="7681" width="25.75" style="143" customWidth="1"/>
    <col min="7682" max="7923" width="9" style="143"/>
    <col min="7924" max="7924" width="16.25" style="143" customWidth="1"/>
    <col min="7925" max="7925" width="12.5" style="143" customWidth="1"/>
    <col min="7926" max="7926" width="9" style="143" hidden="1" customWidth="1"/>
    <col min="7927" max="7936" width="11" style="143" customWidth="1"/>
    <col min="7937" max="7937" width="25.75" style="143" customWidth="1"/>
    <col min="7938" max="8179" width="9" style="143"/>
    <col min="8180" max="8180" width="16.25" style="143" customWidth="1"/>
    <col min="8181" max="8181" width="12.5" style="143" customWidth="1"/>
    <col min="8182" max="8182" width="9" style="143" hidden="1" customWidth="1"/>
    <col min="8183" max="8192" width="11" style="143" customWidth="1"/>
    <col min="8193" max="8193" width="25.75" style="143" customWidth="1"/>
    <col min="8194" max="8435" width="9" style="143"/>
    <col min="8436" max="8436" width="16.25" style="143" customWidth="1"/>
    <col min="8437" max="8437" width="12.5" style="143" customWidth="1"/>
    <col min="8438" max="8438" width="9" style="143" hidden="1" customWidth="1"/>
    <col min="8439" max="8448" width="11" style="143" customWidth="1"/>
    <col min="8449" max="8449" width="25.75" style="143" customWidth="1"/>
    <col min="8450" max="8691" width="9" style="143"/>
    <col min="8692" max="8692" width="16.25" style="143" customWidth="1"/>
    <col min="8693" max="8693" width="12.5" style="143" customWidth="1"/>
    <col min="8694" max="8694" width="9" style="143" hidden="1" customWidth="1"/>
    <col min="8695" max="8704" width="11" style="143" customWidth="1"/>
    <col min="8705" max="8705" width="25.75" style="143" customWidth="1"/>
    <col min="8706" max="8947" width="9" style="143"/>
    <col min="8948" max="8948" width="16.25" style="143" customWidth="1"/>
    <col min="8949" max="8949" width="12.5" style="143" customWidth="1"/>
    <col min="8950" max="8950" width="9" style="143" hidden="1" customWidth="1"/>
    <col min="8951" max="8960" width="11" style="143" customWidth="1"/>
    <col min="8961" max="8961" width="25.75" style="143" customWidth="1"/>
    <col min="8962" max="9203" width="9" style="143"/>
    <col min="9204" max="9204" width="16.25" style="143" customWidth="1"/>
    <col min="9205" max="9205" width="12.5" style="143" customWidth="1"/>
    <col min="9206" max="9206" width="9" style="143" hidden="1" customWidth="1"/>
    <col min="9207" max="9216" width="11" style="143" customWidth="1"/>
    <col min="9217" max="9217" width="25.75" style="143" customWidth="1"/>
    <col min="9218" max="9459" width="9" style="143"/>
    <col min="9460" max="9460" width="16.25" style="143" customWidth="1"/>
    <col min="9461" max="9461" width="12.5" style="143" customWidth="1"/>
    <col min="9462" max="9462" width="9" style="143" hidden="1" customWidth="1"/>
    <col min="9463" max="9472" width="11" style="143" customWidth="1"/>
    <col min="9473" max="9473" width="25.75" style="143" customWidth="1"/>
    <col min="9474" max="9715" width="9" style="143"/>
    <col min="9716" max="9716" width="16.25" style="143" customWidth="1"/>
    <col min="9717" max="9717" width="12.5" style="143" customWidth="1"/>
    <col min="9718" max="9718" width="9" style="143" hidden="1" customWidth="1"/>
    <col min="9719" max="9728" width="11" style="143" customWidth="1"/>
    <col min="9729" max="9729" width="25.75" style="143" customWidth="1"/>
    <col min="9730" max="9971" width="9" style="143"/>
    <col min="9972" max="9972" width="16.25" style="143" customWidth="1"/>
    <col min="9973" max="9973" width="12.5" style="143" customWidth="1"/>
    <col min="9974" max="9974" width="9" style="143" hidden="1" customWidth="1"/>
    <col min="9975" max="9984" width="11" style="143" customWidth="1"/>
    <col min="9985" max="9985" width="25.75" style="143" customWidth="1"/>
    <col min="9986" max="10227" width="9" style="143"/>
    <col min="10228" max="10228" width="16.25" style="143" customWidth="1"/>
    <col min="10229" max="10229" width="12.5" style="143" customWidth="1"/>
    <col min="10230" max="10230" width="9" style="143" hidden="1" customWidth="1"/>
    <col min="10231" max="10240" width="11" style="143" customWidth="1"/>
    <col min="10241" max="10241" width="25.75" style="143" customWidth="1"/>
    <col min="10242" max="10483" width="9" style="143"/>
    <col min="10484" max="10484" width="16.25" style="143" customWidth="1"/>
    <col min="10485" max="10485" width="12.5" style="143" customWidth="1"/>
    <col min="10486" max="10486" width="9" style="143" hidden="1" customWidth="1"/>
    <col min="10487" max="10496" width="11" style="143" customWidth="1"/>
    <col min="10497" max="10497" width="25.75" style="143" customWidth="1"/>
    <col min="10498" max="10739" width="9" style="143"/>
    <col min="10740" max="10740" width="16.25" style="143" customWidth="1"/>
    <col min="10741" max="10741" width="12.5" style="143" customWidth="1"/>
    <col min="10742" max="10742" width="9" style="143" hidden="1" customWidth="1"/>
    <col min="10743" max="10752" width="11" style="143" customWidth="1"/>
    <col min="10753" max="10753" width="25.75" style="143" customWidth="1"/>
    <col min="10754" max="10995" width="9" style="143"/>
    <col min="10996" max="10996" width="16.25" style="143" customWidth="1"/>
    <col min="10997" max="10997" width="12.5" style="143" customWidth="1"/>
    <col min="10998" max="10998" width="9" style="143" hidden="1" customWidth="1"/>
    <col min="10999" max="11008" width="11" style="143" customWidth="1"/>
    <col min="11009" max="11009" width="25.75" style="143" customWidth="1"/>
    <col min="11010" max="11251" width="9" style="143"/>
    <col min="11252" max="11252" width="16.25" style="143" customWidth="1"/>
    <col min="11253" max="11253" width="12.5" style="143" customWidth="1"/>
    <col min="11254" max="11254" width="9" style="143" hidden="1" customWidth="1"/>
    <col min="11255" max="11264" width="11" style="143" customWidth="1"/>
    <col min="11265" max="11265" width="25.75" style="143" customWidth="1"/>
    <col min="11266" max="11507" width="9" style="143"/>
    <col min="11508" max="11508" width="16.25" style="143" customWidth="1"/>
    <col min="11509" max="11509" width="12.5" style="143" customWidth="1"/>
    <col min="11510" max="11510" width="9" style="143" hidden="1" customWidth="1"/>
    <col min="11511" max="11520" width="11" style="143" customWidth="1"/>
    <col min="11521" max="11521" width="25.75" style="143" customWidth="1"/>
    <col min="11522" max="11763" width="9" style="143"/>
    <col min="11764" max="11764" width="16.25" style="143" customWidth="1"/>
    <col min="11765" max="11765" width="12.5" style="143" customWidth="1"/>
    <col min="11766" max="11766" width="9" style="143" hidden="1" customWidth="1"/>
    <col min="11767" max="11776" width="11" style="143" customWidth="1"/>
    <col min="11777" max="11777" width="25.75" style="143" customWidth="1"/>
    <col min="11778" max="12019" width="9" style="143"/>
    <col min="12020" max="12020" width="16.25" style="143" customWidth="1"/>
    <col min="12021" max="12021" width="12.5" style="143" customWidth="1"/>
    <col min="12022" max="12022" width="9" style="143" hidden="1" customWidth="1"/>
    <col min="12023" max="12032" width="11" style="143" customWidth="1"/>
    <col min="12033" max="12033" width="25.75" style="143" customWidth="1"/>
    <col min="12034" max="12275" width="9" style="143"/>
    <col min="12276" max="12276" width="16.25" style="143" customWidth="1"/>
    <col min="12277" max="12277" width="12.5" style="143" customWidth="1"/>
    <col min="12278" max="12278" width="9" style="143" hidden="1" customWidth="1"/>
    <col min="12279" max="12288" width="11" style="143" customWidth="1"/>
    <col min="12289" max="12289" width="25.75" style="143" customWidth="1"/>
    <col min="12290" max="12531" width="9" style="143"/>
    <col min="12532" max="12532" width="16.25" style="143" customWidth="1"/>
    <col min="12533" max="12533" width="12.5" style="143" customWidth="1"/>
    <col min="12534" max="12534" width="9" style="143" hidden="1" customWidth="1"/>
    <col min="12535" max="12544" width="11" style="143" customWidth="1"/>
    <col min="12545" max="12545" width="25.75" style="143" customWidth="1"/>
    <col min="12546" max="12787" width="9" style="143"/>
    <col min="12788" max="12788" width="16.25" style="143" customWidth="1"/>
    <col min="12789" max="12789" width="12.5" style="143" customWidth="1"/>
    <col min="12790" max="12790" width="9" style="143" hidden="1" customWidth="1"/>
    <col min="12791" max="12800" width="11" style="143" customWidth="1"/>
    <col min="12801" max="12801" width="25.75" style="143" customWidth="1"/>
    <col min="12802" max="13043" width="9" style="143"/>
    <col min="13044" max="13044" width="16.25" style="143" customWidth="1"/>
    <col min="13045" max="13045" width="12.5" style="143" customWidth="1"/>
    <col min="13046" max="13046" width="9" style="143" hidden="1" customWidth="1"/>
    <col min="13047" max="13056" width="11" style="143" customWidth="1"/>
    <col min="13057" max="13057" width="25.75" style="143" customWidth="1"/>
    <col min="13058" max="13299" width="9" style="143"/>
    <col min="13300" max="13300" width="16.25" style="143" customWidth="1"/>
    <col min="13301" max="13301" width="12.5" style="143" customWidth="1"/>
    <col min="13302" max="13302" width="9" style="143" hidden="1" customWidth="1"/>
    <col min="13303" max="13312" width="11" style="143" customWidth="1"/>
    <col min="13313" max="13313" width="25.75" style="143" customWidth="1"/>
    <col min="13314" max="13555" width="9" style="143"/>
    <col min="13556" max="13556" width="16.25" style="143" customWidth="1"/>
    <col min="13557" max="13557" width="12.5" style="143" customWidth="1"/>
    <col min="13558" max="13558" width="9" style="143" hidden="1" customWidth="1"/>
    <col min="13559" max="13568" width="11" style="143" customWidth="1"/>
    <col min="13569" max="13569" width="25.75" style="143" customWidth="1"/>
    <col min="13570" max="13811" width="9" style="143"/>
    <col min="13812" max="13812" width="16.25" style="143" customWidth="1"/>
    <col min="13813" max="13813" width="12.5" style="143" customWidth="1"/>
    <col min="13814" max="13814" width="9" style="143" hidden="1" customWidth="1"/>
    <col min="13815" max="13824" width="11" style="143" customWidth="1"/>
    <col min="13825" max="13825" width="25.75" style="143" customWidth="1"/>
    <col min="13826" max="14067" width="9" style="143"/>
    <col min="14068" max="14068" width="16.25" style="143" customWidth="1"/>
    <col min="14069" max="14069" width="12.5" style="143" customWidth="1"/>
    <col min="14070" max="14070" width="9" style="143" hidden="1" customWidth="1"/>
    <col min="14071" max="14080" width="11" style="143" customWidth="1"/>
    <col min="14081" max="14081" width="25.75" style="143" customWidth="1"/>
    <col min="14082" max="14323" width="9" style="143"/>
    <col min="14324" max="14324" width="16.25" style="143" customWidth="1"/>
    <col min="14325" max="14325" width="12.5" style="143" customWidth="1"/>
    <col min="14326" max="14326" width="9" style="143" hidden="1" customWidth="1"/>
    <col min="14327" max="14336" width="11" style="143" customWidth="1"/>
    <col min="14337" max="14337" width="25.75" style="143" customWidth="1"/>
    <col min="14338" max="14579" width="9" style="143"/>
    <col min="14580" max="14580" width="16.25" style="143" customWidth="1"/>
    <col min="14581" max="14581" width="12.5" style="143" customWidth="1"/>
    <col min="14582" max="14582" width="9" style="143" hidden="1" customWidth="1"/>
    <col min="14583" max="14592" width="11" style="143" customWidth="1"/>
    <col min="14593" max="14593" width="25.75" style="143" customWidth="1"/>
    <col min="14594" max="14835" width="9" style="143"/>
    <col min="14836" max="14836" width="16.25" style="143" customWidth="1"/>
    <col min="14837" max="14837" width="12.5" style="143" customWidth="1"/>
    <col min="14838" max="14838" width="9" style="143" hidden="1" customWidth="1"/>
    <col min="14839" max="14848" width="11" style="143" customWidth="1"/>
    <col min="14849" max="14849" width="25.75" style="143" customWidth="1"/>
    <col min="14850" max="15091" width="9" style="143"/>
    <col min="15092" max="15092" width="16.25" style="143" customWidth="1"/>
    <col min="15093" max="15093" width="12.5" style="143" customWidth="1"/>
    <col min="15094" max="15094" width="9" style="143" hidden="1" customWidth="1"/>
    <col min="15095" max="15104" width="11" style="143" customWidth="1"/>
    <col min="15105" max="15105" width="25.75" style="143" customWidth="1"/>
    <col min="15106" max="15347" width="9" style="143"/>
    <col min="15348" max="15348" width="16.25" style="143" customWidth="1"/>
    <col min="15349" max="15349" width="12.5" style="143" customWidth="1"/>
    <col min="15350" max="15350" width="9" style="143" hidden="1" customWidth="1"/>
    <col min="15351" max="15360" width="11" style="143" customWidth="1"/>
    <col min="15361" max="15361" width="25.75" style="143" customWidth="1"/>
    <col min="15362" max="15603" width="9" style="143"/>
    <col min="15604" max="15604" width="16.25" style="143" customWidth="1"/>
    <col min="15605" max="15605" width="12.5" style="143" customWidth="1"/>
    <col min="15606" max="15606" width="9" style="143" hidden="1" customWidth="1"/>
    <col min="15607" max="15616" width="11" style="143" customWidth="1"/>
    <col min="15617" max="15617" width="25.75" style="143" customWidth="1"/>
    <col min="15618" max="15859" width="9" style="143"/>
    <col min="15860" max="15860" width="16.25" style="143" customWidth="1"/>
    <col min="15861" max="15861" width="12.5" style="143" customWidth="1"/>
    <col min="15862" max="15862" width="9" style="143" hidden="1" customWidth="1"/>
    <col min="15863" max="15872" width="11" style="143" customWidth="1"/>
    <col min="15873" max="15873" width="25.75" style="143" customWidth="1"/>
    <col min="15874" max="16115" width="9" style="143"/>
    <col min="16116" max="16116" width="16.25" style="143" customWidth="1"/>
    <col min="16117" max="16117" width="12.5" style="143" customWidth="1"/>
    <col min="16118" max="16118" width="9" style="143" hidden="1" customWidth="1"/>
    <col min="16119" max="16128" width="11" style="143" customWidth="1"/>
    <col min="16129" max="16129" width="25.75" style="143" customWidth="1"/>
    <col min="16130" max="16384" width="9" style="143"/>
  </cols>
  <sheetData>
    <row r="1" s="114" customFormat="1" ht="28.5" customHeight="1" spans="1:15">
      <c r="A1" s="144" t="s">
        <v>327</v>
      </c>
      <c r="B1" s="144"/>
      <c r="C1" s="144"/>
      <c r="O1" s="179"/>
    </row>
    <row r="2" s="115" customFormat="1" ht="18" customHeight="1" spans="1:1">
      <c r="A2" s="115" t="s">
        <v>64</v>
      </c>
    </row>
    <row r="3" s="3" customFormat="1" ht="15" customHeight="1" spans="1:1">
      <c r="A3" s="12" t="str">
        <f>'G-高新'!A3</f>
        <v>编制期间：2020年4月</v>
      </c>
    </row>
    <row r="4" s="14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4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s="165" customFormat="1" ht="18.75" customHeight="1" spans="1:16">
      <c r="A6" s="168" t="s">
        <v>328</v>
      </c>
      <c r="B6" s="169" t="s">
        <v>329</v>
      </c>
      <c r="C6" s="170">
        <f>SUM('C-高新:C-浙江天硕'!C6)+C16</f>
        <v>4384021.38</v>
      </c>
      <c r="D6" s="170">
        <f>SUM('C-高新:C-浙江天硕'!D6)+D16</f>
        <v>3955958.49</v>
      </c>
      <c r="E6" s="170">
        <f>SUM('C-高新:C-浙江天硕'!E6)+E16</f>
        <v>4353499.26</v>
      </c>
      <c r="F6" s="170">
        <f>SUM('C-高新:C-浙江天硕'!F6)+F16</f>
        <v>4383047.92</v>
      </c>
      <c r="G6" s="170">
        <f>SUM('C-高新:C-浙江天硕'!G6)+G16</f>
        <v>0</v>
      </c>
      <c r="H6" s="170">
        <f>SUM('C-高新:C-浙江天硕'!H6)+H16</f>
        <v>0</v>
      </c>
      <c r="I6" s="170">
        <f>SUM('C-高新:C-浙江天硕'!I6)+I16</f>
        <v>0</v>
      </c>
      <c r="J6" s="170">
        <f>SUM('C-高新:C-浙江天硕'!J6)+J16</f>
        <v>0</v>
      </c>
      <c r="K6" s="170">
        <f>SUM('C-高新:C-浙江天硕'!K6)+K16</f>
        <v>0</v>
      </c>
      <c r="L6" s="170">
        <f>SUM('C-高新:C-浙江天硕'!L6)+L16</f>
        <v>0</v>
      </c>
      <c r="M6" s="170">
        <f>SUM('C-高新:C-浙江天硕'!M6)+M16</f>
        <v>0</v>
      </c>
      <c r="N6" s="170">
        <f>SUM('C-高新:C-浙江天硕'!N6)+N16</f>
        <v>0</v>
      </c>
      <c r="O6" s="180">
        <f>SUM(C6:N6)</f>
        <v>17076527.05</v>
      </c>
      <c r="P6" s="165">
        <f>F6/10000</f>
        <v>438.304792</v>
      </c>
    </row>
    <row r="7" s="165" customFormat="1" ht="18.75" customHeight="1" spans="1:16">
      <c r="A7" s="168"/>
      <c r="B7" s="169" t="s">
        <v>330</v>
      </c>
      <c r="C7" s="170">
        <f>SUM('C-高新:C-浙江天硕'!C7)-C16</f>
        <v>-54999.2599999998</v>
      </c>
      <c r="D7" s="170">
        <f>SUM('C-高新:C-浙江天硕'!D7)-D16</f>
        <v>-42368.4999999995</v>
      </c>
      <c r="E7" s="170">
        <f>SUM('C-高新:C-浙江天硕'!E7)-E16</f>
        <v>-205583.700000001</v>
      </c>
      <c r="F7" s="170">
        <f>SUM('C-高新:C-浙江天硕'!F7)-F16</f>
        <v>-118559.060000001</v>
      </c>
      <c r="G7" s="170">
        <f>SUM('C-高新:C-浙江天硕'!G7)-G16</f>
        <v>0</v>
      </c>
      <c r="H7" s="170">
        <f>SUM('C-高新:C-浙江天硕'!H7)-H16</f>
        <v>0</v>
      </c>
      <c r="I7" s="170">
        <f>SUM('C-高新:C-浙江天硕'!I7)-I16</f>
        <v>0</v>
      </c>
      <c r="J7" s="170">
        <f>SUM('C-高新:C-浙江天硕'!J7)-J16</f>
        <v>0</v>
      </c>
      <c r="K7" s="170">
        <f>SUM('C-高新:C-浙江天硕'!K7)-K16</f>
        <v>0</v>
      </c>
      <c r="L7" s="170">
        <f>SUM('C-高新:C-浙江天硕'!L7)-L16</f>
        <v>0</v>
      </c>
      <c r="M7" s="170">
        <f>SUM('C-高新:C-浙江天硕'!M7)-M16</f>
        <v>0</v>
      </c>
      <c r="N7" s="170">
        <f>SUM('C-高新:C-浙江天硕'!N7)-N16</f>
        <v>0</v>
      </c>
      <c r="O7" s="180">
        <f t="shared" ref="O7:O13" si="0">SUM(C7:N7)</f>
        <v>-421510.52</v>
      </c>
      <c r="P7" s="165">
        <f t="shared" ref="P7:P12" si="1">F7/10000</f>
        <v>-11.8559060000001</v>
      </c>
    </row>
    <row r="8" ht="18.75" customHeight="1" spans="1:16">
      <c r="A8" s="126" t="s">
        <v>331</v>
      </c>
      <c r="B8" s="127" t="s">
        <v>331</v>
      </c>
      <c r="C8" s="21">
        <f>SUM('C-高新:C-浙江天硕'!C8)</f>
        <v>121598.95</v>
      </c>
      <c r="D8" s="21">
        <f>SUM('C-高新:C-浙江天硕'!D8)</f>
        <v>47552.08</v>
      </c>
      <c r="E8" s="21">
        <f>SUM('C-高新:C-浙江天硕'!E8)</f>
        <v>1781409.77</v>
      </c>
      <c r="F8" s="21">
        <f>SUM('C-高新:C-浙江天硕'!F8)</f>
        <v>68796.5</v>
      </c>
      <c r="G8" s="21">
        <f>SUM('C-高新:C-浙江天硕'!G8)</f>
        <v>0</v>
      </c>
      <c r="H8" s="21">
        <f>SUM('C-高新:C-浙江天硕'!H8)</f>
        <v>0</v>
      </c>
      <c r="I8" s="21">
        <f>SUM('C-高新:C-浙江天硕'!I8)</f>
        <v>0</v>
      </c>
      <c r="J8" s="21">
        <f>SUM('C-高新:C-浙江天硕'!J8)</f>
        <v>0</v>
      </c>
      <c r="K8" s="21">
        <f>SUM('C-高新:C-浙江天硕'!K8)</f>
        <v>0</v>
      </c>
      <c r="L8" s="21">
        <f>SUM('C-高新:C-浙江天硕'!L8)</f>
        <v>0</v>
      </c>
      <c r="M8" s="21">
        <f>SUM('C-高新:C-浙江天硕'!M8)</f>
        <v>0</v>
      </c>
      <c r="N8" s="21">
        <f>SUM('C-高新:C-浙江天硕'!N8)</f>
        <v>0</v>
      </c>
      <c r="O8" s="47">
        <f t="shared" si="0"/>
        <v>2019357.3</v>
      </c>
      <c r="P8" s="143">
        <f t="shared" si="1"/>
        <v>6.87965</v>
      </c>
    </row>
    <row r="9" ht="18.75" customHeight="1" spans="1:16">
      <c r="A9" s="126" t="s">
        <v>332</v>
      </c>
      <c r="B9" s="127" t="s">
        <v>332</v>
      </c>
      <c r="C9" s="21">
        <f>SUM('C-高新:C-浙江天硕'!C9)</f>
        <v>847240.28</v>
      </c>
      <c r="D9" s="21">
        <f>SUM('C-高新:C-浙江天硕'!D9)</f>
        <v>225815.63</v>
      </c>
      <c r="E9" s="21">
        <f>SUM('C-高新:C-浙江天硕'!E9)</f>
        <v>953032.45</v>
      </c>
      <c r="F9" s="21">
        <f>SUM('C-高新:C-浙江天硕'!F9)</f>
        <v>1082743.58</v>
      </c>
      <c r="G9" s="21">
        <f>SUM('C-高新:C-浙江天硕'!G9)</f>
        <v>0</v>
      </c>
      <c r="H9" s="21">
        <f>SUM('C-高新:C-浙江天硕'!H9)</f>
        <v>0</v>
      </c>
      <c r="I9" s="21">
        <f>SUM('C-高新:C-浙江天硕'!I9)</f>
        <v>0</v>
      </c>
      <c r="J9" s="21">
        <f>SUM('C-高新:C-浙江天硕'!J9)</f>
        <v>0</v>
      </c>
      <c r="K9" s="21">
        <f>SUM('C-高新:C-浙江天硕'!K9)</f>
        <v>0</v>
      </c>
      <c r="L9" s="21">
        <f>SUM('C-高新:C-浙江天硕'!L9)</f>
        <v>0</v>
      </c>
      <c r="M9" s="21">
        <f>SUM('C-高新:C-浙江天硕'!M9)</f>
        <v>0</v>
      </c>
      <c r="N9" s="21">
        <f>SUM('C-高新:C-浙江天硕'!N9)</f>
        <v>0</v>
      </c>
      <c r="O9" s="47">
        <f t="shared" si="0"/>
        <v>3108831.94</v>
      </c>
      <c r="P9" s="143">
        <f t="shared" si="1"/>
        <v>108.274358</v>
      </c>
    </row>
    <row r="10" ht="18.75" customHeight="1" spans="1:16">
      <c r="A10" s="126" t="s">
        <v>333</v>
      </c>
      <c r="B10" s="127" t="s">
        <v>334</v>
      </c>
      <c r="C10" s="21">
        <f>SUM('C-高新:C-浙江天硕'!C10)</f>
        <v>-328355.52</v>
      </c>
      <c r="D10" s="21">
        <f>SUM('C-高新:C-浙江天硕'!D10)</f>
        <v>-481315.81</v>
      </c>
      <c r="E10" s="21">
        <f>SUM('C-高新:C-浙江天硕'!E10)</f>
        <v>-1181038.54</v>
      </c>
      <c r="F10" s="21">
        <f>SUM('C-高新:C-浙江天硕'!F10)</f>
        <v>211676.87</v>
      </c>
      <c r="G10" s="21">
        <f>SUM('C-高新:C-浙江天硕'!G10)</f>
        <v>0</v>
      </c>
      <c r="H10" s="21">
        <f>SUM('C-高新:C-浙江天硕'!H10)</f>
        <v>0</v>
      </c>
      <c r="I10" s="21">
        <f>SUM('C-高新:C-浙江天硕'!I10)</f>
        <v>0</v>
      </c>
      <c r="J10" s="21">
        <f>SUM('C-高新:C-浙江天硕'!J10)</f>
        <v>0</v>
      </c>
      <c r="K10" s="21">
        <f>SUM('C-高新:C-浙江天硕'!K10)</f>
        <v>0</v>
      </c>
      <c r="L10" s="21">
        <f>SUM('C-高新:C-浙江天硕'!L10)</f>
        <v>0</v>
      </c>
      <c r="M10" s="21">
        <f>SUM('C-高新:C-浙江天硕'!M10)</f>
        <v>0</v>
      </c>
      <c r="N10" s="21">
        <f>SUM('C-高新:C-浙江天硕'!N10)</f>
        <v>0</v>
      </c>
      <c r="O10" s="47">
        <f t="shared" si="0"/>
        <v>-1779033</v>
      </c>
      <c r="P10" s="143">
        <f t="shared" si="1"/>
        <v>21.167687</v>
      </c>
    </row>
    <row r="11" ht="18.75" customHeight="1" spans="1:16">
      <c r="A11" s="126"/>
      <c r="B11" s="127" t="s">
        <v>335</v>
      </c>
      <c r="C11" s="21">
        <f>SUM('C-高新:C-浙江天硕'!C11)</f>
        <v>1296850.15</v>
      </c>
      <c r="D11" s="21">
        <f>SUM('C-高新:C-浙江天硕'!D11)</f>
        <v>-616773.98</v>
      </c>
      <c r="E11" s="21">
        <f>SUM('C-高新:C-浙江天硕'!E11)</f>
        <v>241865.49</v>
      </c>
      <c r="F11" s="21">
        <f>SUM('C-高新:C-浙江天硕'!F11)</f>
        <v>169036.25</v>
      </c>
      <c r="G11" s="21">
        <f>SUM('C-高新:C-浙江天硕'!G11)</f>
        <v>0</v>
      </c>
      <c r="H11" s="21">
        <f>SUM('C-高新:C-浙江天硕'!H11)</f>
        <v>0</v>
      </c>
      <c r="I11" s="21">
        <f>SUM('C-高新:C-浙江天硕'!I11)</f>
        <v>0</v>
      </c>
      <c r="J11" s="21">
        <f>SUM('C-高新:C-浙江天硕'!J11)</f>
        <v>0</v>
      </c>
      <c r="K11" s="21">
        <f>SUM('C-高新:C-浙江天硕'!K11)</f>
        <v>0</v>
      </c>
      <c r="L11" s="21">
        <f>SUM('C-高新:C-浙江天硕'!L11)</f>
        <v>0</v>
      </c>
      <c r="M11" s="21">
        <f>SUM('C-高新:C-浙江天硕'!M11)</f>
        <v>0</v>
      </c>
      <c r="N11" s="21">
        <f>SUM('C-高新:C-浙江天硕'!N11)</f>
        <v>0</v>
      </c>
      <c r="O11" s="47">
        <f t="shared" si="0"/>
        <v>1090977.91</v>
      </c>
      <c r="P11" s="143">
        <f t="shared" si="1"/>
        <v>16.903625</v>
      </c>
    </row>
    <row r="12" ht="18.75" customHeight="1" spans="1:16">
      <c r="A12" s="126" t="s">
        <v>173</v>
      </c>
      <c r="B12" s="127" t="s">
        <v>173</v>
      </c>
      <c r="C12" s="21">
        <f>SUM('C-高新:C-浙江天硕'!C12)</f>
        <v>146109.47</v>
      </c>
      <c r="D12" s="21">
        <f>SUM('C-高新:C-浙江天硕'!D12)</f>
        <v>190092.37</v>
      </c>
      <c r="E12" s="21">
        <f>SUM('C-高新:C-浙江天硕'!E12)</f>
        <v>-277734.83</v>
      </c>
      <c r="F12" s="21">
        <f>SUM('C-高新:C-浙江天硕'!F12)</f>
        <v>40349.66</v>
      </c>
      <c r="G12" s="21">
        <f>SUM('C-高新:C-浙江天硕'!G12)</f>
        <v>0</v>
      </c>
      <c r="H12" s="21">
        <f>SUM('C-高新:C-浙江天硕'!H12)</f>
        <v>0</v>
      </c>
      <c r="I12" s="21">
        <f>SUM('C-高新:C-浙江天硕'!I12)</f>
        <v>0</v>
      </c>
      <c r="J12" s="21">
        <f>SUM('C-高新:C-浙江天硕'!J12)</f>
        <v>0</v>
      </c>
      <c r="K12" s="21">
        <f>SUM('C-高新:C-浙江天硕'!K12)</f>
        <v>0</v>
      </c>
      <c r="L12" s="21">
        <f>SUM('C-高新:C-浙江天硕'!L12)</f>
        <v>0</v>
      </c>
      <c r="M12" s="21">
        <f>SUM('C-高新:C-浙江天硕'!M12)</f>
        <v>0</v>
      </c>
      <c r="N12" s="21">
        <f>SUM('C-高新:C-浙江天硕'!N12)</f>
        <v>0</v>
      </c>
      <c r="O12" s="47">
        <f t="shared" si="0"/>
        <v>98816.67</v>
      </c>
      <c r="P12" s="143">
        <f t="shared" si="1"/>
        <v>4.034966</v>
      </c>
    </row>
    <row r="13" s="141" customFormat="1" ht="22.5" customHeight="1" spans="1:15">
      <c r="A13" s="128" t="s">
        <v>336</v>
      </c>
      <c r="B13" s="129"/>
      <c r="C13" s="58">
        <f>SUM(C6:C12)</f>
        <v>6412465.45</v>
      </c>
      <c r="D13" s="58">
        <f t="shared" ref="D13:N13" si="2">SUM(D6:D12)</f>
        <v>3278960.28</v>
      </c>
      <c r="E13" s="58">
        <f t="shared" si="2"/>
        <v>5665449.9</v>
      </c>
      <c r="F13" s="58">
        <f t="shared" si="2"/>
        <v>5837091.72</v>
      </c>
      <c r="G13" s="58">
        <f t="shared" si="2"/>
        <v>0</v>
      </c>
      <c r="H13" s="58">
        <f t="shared" si="2"/>
        <v>0</v>
      </c>
      <c r="I13" s="58">
        <f t="shared" si="2"/>
        <v>0</v>
      </c>
      <c r="J13" s="58">
        <f t="shared" si="2"/>
        <v>0</v>
      </c>
      <c r="K13" s="58">
        <f t="shared" si="2"/>
        <v>0</v>
      </c>
      <c r="L13" s="58">
        <f t="shared" si="2"/>
        <v>0</v>
      </c>
      <c r="M13" s="58">
        <f t="shared" si="2"/>
        <v>0</v>
      </c>
      <c r="N13" s="58">
        <f t="shared" si="2"/>
        <v>0</v>
      </c>
      <c r="O13" s="47">
        <f t="shared" si="0"/>
        <v>21193967.35</v>
      </c>
    </row>
    <row r="14" spans="3:15">
      <c r="C14" s="143">
        <f ca="1">C13-C45</f>
        <v>0</v>
      </c>
      <c r="D14" s="143">
        <f ca="1" t="shared" ref="D14:O14" si="3">D13-D45</f>
        <v>0</v>
      </c>
      <c r="E14" s="143">
        <f ca="1" t="shared" si="3"/>
        <v>0</v>
      </c>
      <c r="F14" s="143">
        <f ca="1" t="shared" si="3"/>
        <v>0</v>
      </c>
      <c r="G14" s="143">
        <f ca="1" t="shared" si="3"/>
        <v>0</v>
      </c>
      <c r="H14" s="143">
        <f ca="1" t="shared" si="3"/>
        <v>0</v>
      </c>
      <c r="I14" s="143">
        <f ca="1" t="shared" si="3"/>
        <v>0</v>
      </c>
      <c r="J14" s="143">
        <f ca="1" t="shared" si="3"/>
        <v>0</v>
      </c>
      <c r="K14" s="143">
        <f ca="1" t="shared" si="3"/>
        <v>0</v>
      </c>
      <c r="L14" s="143">
        <f ca="1" t="shared" si="3"/>
        <v>0</v>
      </c>
      <c r="M14" s="143">
        <f ca="1" t="shared" si="3"/>
        <v>0</v>
      </c>
      <c r="N14" s="143">
        <f ca="1" t="shared" si="3"/>
        <v>0</v>
      </c>
      <c r="O14" s="143">
        <f ca="1" t="shared" si="3"/>
        <v>0</v>
      </c>
    </row>
    <row r="15" s="142" customFormat="1" spans="1:15">
      <c r="A15" s="132"/>
      <c r="B15" s="132"/>
      <c r="C15" s="132"/>
      <c r="D15" s="145"/>
      <c r="E15" s="145"/>
      <c r="F15" s="145"/>
      <c r="G15" s="145"/>
      <c r="H15" s="145"/>
      <c r="I15" s="145"/>
      <c r="O15" s="181"/>
    </row>
    <row r="16" s="166" customFormat="1" spans="3:15">
      <c r="C16" s="171">
        <v>-2462156.31</v>
      </c>
      <c r="D16" s="171">
        <v>-2319933.16</v>
      </c>
      <c r="E16" s="171">
        <v>-2498303.78</v>
      </c>
      <c r="F16" s="171">
        <v>-2372422.26</v>
      </c>
      <c r="G16" s="171"/>
      <c r="H16" s="172"/>
      <c r="I16" s="171"/>
      <c r="J16" s="171"/>
      <c r="K16" s="171"/>
      <c r="L16" s="171"/>
      <c r="M16" s="182"/>
      <c r="N16" s="182"/>
      <c r="O16" s="183"/>
    </row>
    <row r="17" spans="4:15">
      <c r="D17" s="145"/>
      <c r="E17" s="145"/>
      <c r="F17" s="145"/>
      <c r="G17" s="145"/>
      <c r="H17" s="145"/>
      <c r="I17" s="145"/>
      <c r="O17" s="184"/>
    </row>
    <row r="18" spans="4:15">
      <c r="D18" s="145"/>
      <c r="E18" s="145"/>
      <c r="F18" s="145"/>
      <c r="G18" s="145"/>
      <c r="H18" s="145"/>
      <c r="I18" s="145"/>
      <c r="O18" s="134"/>
    </row>
    <row r="19" spans="4:17">
      <c r="D19" s="145"/>
      <c r="E19" s="145"/>
      <c r="F19" s="145"/>
      <c r="G19" s="145"/>
      <c r="H19" s="145"/>
      <c r="I19" s="145"/>
      <c r="Q19" s="158"/>
    </row>
    <row r="20" spans="2:15">
      <c r="B20" s="173" t="s">
        <v>11</v>
      </c>
      <c r="C20" s="174" t="str">
        <f>C5</f>
        <v>2020年1月</v>
      </c>
      <c r="D20" s="174" t="str">
        <f t="shared" ref="D20:N20" si="4">D5</f>
        <v>2020年2月</v>
      </c>
      <c r="E20" s="174" t="str">
        <f t="shared" si="4"/>
        <v>2020年3月</v>
      </c>
      <c r="F20" s="174" t="str">
        <f t="shared" si="4"/>
        <v>2020年4月</v>
      </c>
      <c r="G20" s="174" t="str">
        <f t="shared" si="4"/>
        <v>2020年5月</v>
      </c>
      <c r="H20" s="174" t="str">
        <f t="shared" si="4"/>
        <v>2020年6月</v>
      </c>
      <c r="I20" s="174" t="str">
        <f t="shared" si="4"/>
        <v>2020年7月</v>
      </c>
      <c r="J20" s="174" t="str">
        <f t="shared" si="4"/>
        <v>2020年8月</v>
      </c>
      <c r="K20" s="174" t="str">
        <f t="shared" si="4"/>
        <v>2020年9月</v>
      </c>
      <c r="L20" s="174" t="str">
        <f t="shared" si="4"/>
        <v>2020年10月</v>
      </c>
      <c r="M20" s="174" t="str">
        <f t="shared" si="4"/>
        <v>2020年11月</v>
      </c>
      <c r="N20" s="174" t="str">
        <f t="shared" si="4"/>
        <v>2020年12月</v>
      </c>
      <c r="O20" s="185" t="s">
        <v>12</v>
      </c>
    </row>
    <row r="21" hidden="1" spans="2:15">
      <c r="B21" s="173"/>
      <c r="C21" s="175" t="s">
        <v>45</v>
      </c>
      <c r="D21" s="175" t="s">
        <v>46</v>
      </c>
      <c r="E21" s="175" t="s">
        <v>47</v>
      </c>
      <c r="F21" s="175" t="s">
        <v>48</v>
      </c>
      <c r="G21" s="175" t="s">
        <v>49</v>
      </c>
      <c r="H21" s="175" t="s">
        <v>50</v>
      </c>
      <c r="I21" s="175" t="s">
        <v>51</v>
      </c>
      <c r="J21" s="177" t="s">
        <v>52</v>
      </c>
      <c r="K21" s="177" t="s">
        <v>53</v>
      </c>
      <c r="L21" s="177" t="s">
        <v>54</v>
      </c>
      <c r="M21" s="177" t="s">
        <v>55</v>
      </c>
      <c r="N21" s="177" t="s">
        <v>56</v>
      </c>
      <c r="O21" s="186" t="s">
        <v>57</v>
      </c>
    </row>
    <row r="22" spans="2:15">
      <c r="B22" s="176" t="s">
        <v>337</v>
      </c>
      <c r="C22" s="177">
        <f ca="1">IFERROR(INDIRECT("'"&amp;$B22&amp;"'"&amp;"!"&amp;C$21&amp;"13"),"")</f>
        <v>1431382.13</v>
      </c>
      <c r="D22" s="177">
        <f ca="1" t="shared" ref="D22:O22" si="5">IFERROR(INDIRECT("'"&amp;$B22&amp;"'"&amp;"!"&amp;D$21&amp;"13"),"")</f>
        <v>-632865.12</v>
      </c>
      <c r="E22" s="177">
        <f ca="1" t="shared" si="5"/>
        <v>-27846.0100000002</v>
      </c>
      <c r="F22" s="177">
        <f ca="1" t="shared" si="5"/>
        <v>306592.46</v>
      </c>
      <c r="G22" s="177">
        <f ca="1" t="shared" si="5"/>
        <v>0</v>
      </c>
      <c r="H22" s="177">
        <f ca="1" t="shared" si="5"/>
        <v>0</v>
      </c>
      <c r="I22" s="177">
        <f ca="1" t="shared" si="5"/>
        <v>0</v>
      </c>
      <c r="J22" s="177">
        <f ca="1" t="shared" si="5"/>
        <v>0</v>
      </c>
      <c r="K22" s="177">
        <f ca="1" t="shared" si="5"/>
        <v>0</v>
      </c>
      <c r="L22" s="177">
        <f ca="1" t="shared" si="5"/>
        <v>0</v>
      </c>
      <c r="M22" s="177">
        <f ca="1" t="shared" si="5"/>
        <v>0</v>
      </c>
      <c r="N22" s="177">
        <f ca="1" t="shared" si="5"/>
        <v>0</v>
      </c>
      <c r="O22" s="177">
        <f ca="1" t="shared" si="5"/>
        <v>1077263.46</v>
      </c>
    </row>
    <row r="23" spans="2:15">
      <c r="B23" s="176" t="s">
        <v>338</v>
      </c>
      <c r="C23" s="177">
        <f ca="1" t="shared" ref="C23:O44" si="6">IFERROR(INDIRECT("'"&amp;$B23&amp;"'"&amp;"!"&amp;C$21&amp;"13"),"")</f>
        <v>305</v>
      </c>
      <c r="D23" s="177">
        <f ca="1" t="shared" si="6"/>
        <v>300</v>
      </c>
      <c r="E23" s="177">
        <f ca="1" t="shared" si="6"/>
        <v>1334.39</v>
      </c>
      <c r="F23" s="177">
        <f ca="1" t="shared" si="6"/>
        <v>0</v>
      </c>
      <c r="G23" s="177">
        <f ca="1" t="shared" si="6"/>
        <v>0</v>
      </c>
      <c r="H23" s="177">
        <f ca="1" t="shared" si="6"/>
        <v>0</v>
      </c>
      <c r="I23" s="177">
        <f ca="1" t="shared" si="6"/>
        <v>0</v>
      </c>
      <c r="J23" s="177">
        <f ca="1" t="shared" si="6"/>
        <v>0</v>
      </c>
      <c r="K23" s="177">
        <f ca="1" t="shared" si="6"/>
        <v>0</v>
      </c>
      <c r="L23" s="177">
        <f ca="1" t="shared" si="6"/>
        <v>0</v>
      </c>
      <c r="M23" s="177">
        <f ca="1" t="shared" si="6"/>
        <v>0</v>
      </c>
      <c r="N23" s="177">
        <f ca="1" t="shared" si="6"/>
        <v>0</v>
      </c>
      <c r="O23" s="177">
        <f ca="1" t="shared" si="6"/>
        <v>1939.39</v>
      </c>
    </row>
    <row r="24" spans="2:15">
      <c r="B24" s="176" t="s">
        <v>339</v>
      </c>
      <c r="C24" s="177">
        <f ca="1" t="shared" si="6"/>
        <v>220</v>
      </c>
      <c r="D24" s="177">
        <f ca="1" t="shared" si="6"/>
        <v>1320</v>
      </c>
      <c r="E24" s="177">
        <f ca="1" t="shared" si="6"/>
        <v>-281.09</v>
      </c>
      <c r="F24" s="177">
        <f ca="1" t="shared" si="6"/>
        <v>68</v>
      </c>
      <c r="G24" s="177">
        <f ca="1" t="shared" si="6"/>
        <v>0</v>
      </c>
      <c r="H24" s="177">
        <f ca="1" t="shared" si="6"/>
        <v>0</v>
      </c>
      <c r="I24" s="177">
        <f ca="1" t="shared" si="6"/>
        <v>0</v>
      </c>
      <c r="J24" s="177">
        <f ca="1" t="shared" si="6"/>
        <v>0</v>
      </c>
      <c r="K24" s="177">
        <f ca="1" t="shared" si="6"/>
        <v>0</v>
      </c>
      <c r="L24" s="177">
        <f ca="1" t="shared" si="6"/>
        <v>0</v>
      </c>
      <c r="M24" s="177">
        <f ca="1" t="shared" si="6"/>
        <v>0</v>
      </c>
      <c r="N24" s="177">
        <f ca="1" t="shared" si="6"/>
        <v>0</v>
      </c>
      <c r="O24" s="177">
        <f ca="1" t="shared" si="6"/>
        <v>1326.91</v>
      </c>
    </row>
    <row r="25" spans="2:15">
      <c r="B25" s="176" t="s">
        <v>340</v>
      </c>
      <c r="C25" s="177">
        <f ca="1" t="shared" si="6"/>
        <v>36.6</v>
      </c>
      <c r="D25" s="177">
        <f ca="1" t="shared" si="6"/>
        <v>41.6</v>
      </c>
      <c r="E25" s="177">
        <f ca="1" t="shared" si="6"/>
        <v>-3005.9</v>
      </c>
      <c r="F25" s="177">
        <f ca="1" t="shared" si="6"/>
        <v>46.6</v>
      </c>
      <c r="G25" s="177">
        <f ca="1" t="shared" si="6"/>
        <v>0</v>
      </c>
      <c r="H25" s="177">
        <f ca="1" t="shared" si="6"/>
        <v>0</v>
      </c>
      <c r="I25" s="177">
        <f ca="1" t="shared" si="6"/>
        <v>0</v>
      </c>
      <c r="J25" s="177">
        <f ca="1" t="shared" si="6"/>
        <v>0</v>
      </c>
      <c r="K25" s="177">
        <f ca="1" t="shared" si="6"/>
        <v>0</v>
      </c>
      <c r="L25" s="177">
        <f ca="1" t="shared" si="6"/>
        <v>0</v>
      </c>
      <c r="M25" s="177">
        <f ca="1" t="shared" si="6"/>
        <v>0</v>
      </c>
      <c r="N25" s="177">
        <f ca="1" t="shared" si="6"/>
        <v>0</v>
      </c>
      <c r="O25" s="177">
        <f ca="1" t="shared" si="6"/>
        <v>-2881.1</v>
      </c>
    </row>
    <row r="26" customFormat="1" ht="13.5" spans="2:15">
      <c r="B26" s="178" t="s">
        <v>341</v>
      </c>
      <c r="C26" s="177">
        <f ca="1" t="shared" si="6"/>
        <v>44</v>
      </c>
      <c r="D26" s="177">
        <f ca="1" t="shared" si="6"/>
        <v>105</v>
      </c>
      <c r="E26" s="177">
        <f ca="1" t="shared" si="6"/>
        <v>571.41</v>
      </c>
      <c r="F26" s="177">
        <f ca="1" t="shared" si="6"/>
        <v>1982.48</v>
      </c>
      <c r="G26" s="177">
        <f ca="1" t="shared" si="6"/>
        <v>0</v>
      </c>
      <c r="H26" s="177">
        <f ca="1" t="shared" si="6"/>
        <v>0</v>
      </c>
      <c r="I26" s="177">
        <f ca="1" t="shared" si="6"/>
        <v>0</v>
      </c>
      <c r="J26" s="177">
        <f ca="1" t="shared" si="6"/>
        <v>0</v>
      </c>
      <c r="K26" s="177">
        <f ca="1" t="shared" si="6"/>
        <v>0</v>
      </c>
      <c r="L26" s="177">
        <f ca="1" t="shared" si="6"/>
        <v>0</v>
      </c>
      <c r="M26" s="177">
        <f ca="1" t="shared" si="6"/>
        <v>0</v>
      </c>
      <c r="N26" s="177">
        <f ca="1" t="shared" si="6"/>
        <v>0</v>
      </c>
      <c r="O26" s="177">
        <f ca="1" t="shared" si="6"/>
        <v>2702.89</v>
      </c>
    </row>
    <row r="27" customFormat="1" ht="13.5" spans="2:15">
      <c r="B27" s="178" t="s">
        <v>342</v>
      </c>
      <c r="C27" s="177">
        <f ca="1" t="shared" si="6"/>
        <v>634043.85</v>
      </c>
      <c r="D27" s="177">
        <f ca="1" t="shared" si="6"/>
        <v>504894.92</v>
      </c>
      <c r="E27" s="177">
        <f ca="1" t="shared" si="6"/>
        <v>641724.76</v>
      </c>
      <c r="F27" s="177">
        <f ca="1" t="shared" si="6"/>
        <v>545365.16</v>
      </c>
      <c r="G27" s="177">
        <f ca="1" t="shared" si="6"/>
        <v>0</v>
      </c>
      <c r="H27" s="177">
        <f ca="1" t="shared" si="6"/>
        <v>0</v>
      </c>
      <c r="I27" s="177">
        <f ca="1" t="shared" si="6"/>
        <v>0</v>
      </c>
      <c r="J27" s="177">
        <f ca="1" t="shared" si="6"/>
        <v>0</v>
      </c>
      <c r="K27" s="177">
        <f ca="1" t="shared" si="6"/>
        <v>0</v>
      </c>
      <c r="L27" s="177">
        <f ca="1" t="shared" si="6"/>
        <v>0</v>
      </c>
      <c r="M27" s="177">
        <f ca="1" t="shared" si="6"/>
        <v>0</v>
      </c>
      <c r="N27" s="177">
        <f ca="1" t="shared" si="6"/>
        <v>0</v>
      </c>
      <c r="O27" s="177">
        <f ca="1" t="shared" si="6"/>
        <v>2326028.69</v>
      </c>
    </row>
    <row r="28" customFormat="1" ht="13.5" spans="2:15">
      <c r="B28" s="178" t="s">
        <v>343</v>
      </c>
      <c r="C28" s="177">
        <f ca="1" t="shared" si="6"/>
        <v>79749.68</v>
      </c>
      <c r="D28" s="177">
        <f ca="1" t="shared" si="6"/>
        <v>-50002.15</v>
      </c>
      <c r="E28" s="177">
        <f ca="1" t="shared" si="6"/>
        <v>-51289.74</v>
      </c>
      <c r="F28" s="177">
        <f ca="1" t="shared" si="6"/>
        <v>23522.21</v>
      </c>
      <c r="G28" s="177">
        <f ca="1" t="shared" si="6"/>
        <v>0</v>
      </c>
      <c r="H28" s="177">
        <f ca="1" t="shared" si="6"/>
        <v>0</v>
      </c>
      <c r="I28" s="177">
        <f ca="1" t="shared" si="6"/>
        <v>0</v>
      </c>
      <c r="J28" s="177">
        <f ca="1" t="shared" si="6"/>
        <v>0</v>
      </c>
      <c r="K28" s="177">
        <f ca="1" t="shared" si="6"/>
        <v>0</v>
      </c>
      <c r="L28" s="177">
        <f ca="1" t="shared" si="6"/>
        <v>0</v>
      </c>
      <c r="M28" s="177">
        <f ca="1" t="shared" si="6"/>
        <v>0</v>
      </c>
      <c r="N28" s="177">
        <f ca="1" t="shared" si="6"/>
        <v>0</v>
      </c>
      <c r="O28" s="177">
        <f ca="1" t="shared" si="6"/>
        <v>1979.99999999999</v>
      </c>
    </row>
    <row r="29" customFormat="1" ht="13.5" spans="2:15">
      <c r="B29" s="178" t="s">
        <v>344</v>
      </c>
      <c r="C29" s="177">
        <f ca="1" t="shared" si="6"/>
        <v>47</v>
      </c>
      <c r="D29" s="177">
        <f ca="1" t="shared" si="6"/>
        <v>30</v>
      </c>
      <c r="E29" s="177">
        <f ca="1" t="shared" si="6"/>
        <v>124.64</v>
      </c>
      <c r="F29" s="177">
        <f ca="1" t="shared" si="6"/>
        <v>342</v>
      </c>
      <c r="G29" s="177">
        <f ca="1" t="shared" si="6"/>
        <v>0</v>
      </c>
      <c r="H29" s="177">
        <f ca="1" t="shared" si="6"/>
        <v>0</v>
      </c>
      <c r="I29" s="177">
        <f ca="1" t="shared" si="6"/>
        <v>0</v>
      </c>
      <c r="J29" s="177">
        <f ca="1" t="shared" si="6"/>
        <v>0</v>
      </c>
      <c r="K29" s="177">
        <f ca="1" t="shared" si="6"/>
        <v>0</v>
      </c>
      <c r="L29" s="177">
        <f ca="1" t="shared" si="6"/>
        <v>0</v>
      </c>
      <c r="M29" s="177">
        <f ca="1" t="shared" si="6"/>
        <v>0</v>
      </c>
      <c r="N29" s="177">
        <f ca="1" t="shared" si="6"/>
        <v>0</v>
      </c>
      <c r="O29" s="177">
        <f ca="1" t="shared" si="6"/>
        <v>543.64</v>
      </c>
    </row>
    <row r="30" customFormat="1" ht="13.5" spans="2:15">
      <c r="B30" s="178" t="s">
        <v>345</v>
      </c>
      <c r="C30" s="177">
        <f ca="1" t="shared" si="6"/>
        <v>1441482.42</v>
      </c>
      <c r="D30" s="177">
        <f ca="1" t="shared" si="6"/>
        <v>1340802.81</v>
      </c>
      <c r="E30" s="177">
        <f ca="1" t="shared" si="6"/>
        <v>1435084.83</v>
      </c>
      <c r="F30" s="177">
        <f ca="1" t="shared" si="6"/>
        <v>1393121.28</v>
      </c>
      <c r="G30" s="177">
        <f ca="1" t="shared" si="6"/>
        <v>0</v>
      </c>
      <c r="H30" s="177">
        <f ca="1" t="shared" si="6"/>
        <v>0</v>
      </c>
      <c r="I30" s="177">
        <f ca="1" t="shared" si="6"/>
        <v>0</v>
      </c>
      <c r="J30" s="177">
        <f ca="1" t="shared" si="6"/>
        <v>0</v>
      </c>
      <c r="K30" s="177">
        <f ca="1" t="shared" si="6"/>
        <v>0</v>
      </c>
      <c r="L30" s="177">
        <f ca="1" t="shared" si="6"/>
        <v>0</v>
      </c>
      <c r="M30" s="177">
        <f ca="1" t="shared" si="6"/>
        <v>0</v>
      </c>
      <c r="N30" s="177">
        <f ca="1" t="shared" si="6"/>
        <v>0</v>
      </c>
      <c r="O30" s="177">
        <f ca="1" t="shared" si="6"/>
        <v>5610491.34</v>
      </c>
    </row>
    <row r="31" customFormat="1" ht="13.5" spans="2:15">
      <c r="B31" s="178" t="s">
        <v>346</v>
      </c>
      <c r="C31" s="177">
        <f ca="1" t="shared" si="6"/>
        <v>452425.13</v>
      </c>
      <c r="D31" s="177">
        <f ca="1" t="shared" si="6"/>
        <v>432527.85</v>
      </c>
      <c r="E31" s="177">
        <f ca="1" t="shared" si="6"/>
        <v>460711.77</v>
      </c>
      <c r="F31" s="177">
        <f ca="1" t="shared" si="6"/>
        <v>368517.21</v>
      </c>
      <c r="G31" s="177">
        <f ca="1" t="shared" si="6"/>
        <v>0</v>
      </c>
      <c r="H31" s="177">
        <f ca="1" t="shared" si="6"/>
        <v>0</v>
      </c>
      <c r="I31" s="177">
        <f ca="1" t="shared" si="6"/>
        <v>0</v>
      </c>
      <c r="J31" s="177">
        <f ca="1" t="shared" si="6"/>
        <v>0</v>
      </c>
      <c r="K31" s="177">
        <f ca="1" t="shared" si="6"/>
        <v>0</v>
      </c>
      <c r="L31" s="177">
        <f ca="1" t="shared" si="6"/>
        <v>0</v>
      </c>
      <c r="M31" s="177">
        <f ca="1" t="shared" si="6"/>
        <v>0</v>
      </c>
      <c r="N31" s="177">
        <f ca="1" t="shared" si="6"/>
        <v>0</v>
      </c>
      <c r="O31" s="177">
        <f ca="1" t="shared" si="6"/>
        <v>1714181.96</v>
      </c>
    </row>
    <row r="32" customFormat="1" ht="13.5" spans="2:15">
      <c r="B32" s="178" t="s">
        <v>347</v>
      </c>
      <c r="C32" s="177">
        <f ca="1" t="shared" si="6"/>
        <v>982580.8</v>
      </c>
      <c r="D32" s="177">
        <f ca="1" t="shared" si="6"/>
        <v>716324.63</v>
      </c>
      <c r="E32" s="177">
        <f ca="1" t="shared" si="6"/>
        <v>2785786.45</v>
      </c>
      <c r="F32" s="177">
        <f ca="1" t="shared" si="6"/>
        <v>1093224.03</v>
      </c>
      <c r="G32" s="177">
        <f ca="1" t="shared" si="6"/>
        <v>0</v>
      </c>
      <c r="H32" s="177">
        <f ca="1" t="shared" si="6"/>
        <v>0</v>
      </c>
      <c r="I32" s="177">
        <f ca="1" t="shared" si="6"/>
        <v>0</v>
      </c>
      <c r="J32" s="177">
        <f ca="1" t="shared" si="6"/>
        <v>0</v>
      </c>
      <c r="K32" s="177">
        <f ca="1" t="shared" si="6"/>
        <v>0</v>
      </c>
      <c r="L32" s="177">
        <f ca="1" t="shared" si="6"/>
        <v>0</v>
      </c>
      <c r="M32" s="177">
        <f ca="1" t="shared" si="6"/>
        <v>0</v>
      </c>
      <c r="N32" s="177">
        <f ca="1" t="shared" si="6"/>
        <v>0</v>
      </c>
      <c r="O32" s="177">
        <f ca="1" t="shared" si="6"/>
        <v>5577915.91</v>
      </c>
    </row>
    <row r="33" customFormat="1" ht="13.5" spans="2:15">
      <c r="B33" s="178" t="s">
        <v>348</v>
      </c>
      <c r="C33" s="177">
        <f ca="1" t="shared" si="6"/>
        <v>-156830.52</v>
      </c>
      <c r="D33" s="177">
        <f ca="1" t="shared" si="6"/>
        <v>-165459.46</v>
      </c>
      <c r="E33" s="177">
        <f ca="1" t="shared" si="6"/>
        <v>-194040.97</v>
      </c>
      <c r="F33" s="177">
        <f ca="1" t="shared" si="6"/>
        <v>-145126.16</v>
      </c>
      <c r="G33" s="177">
        <f ca="1" t="shared" si="6"/>
        <v>0</v>
      </c>
      <c r="H33" s="177">
        <f ca="1" t="shared" si="6"/>
        <v>0</v>
      </c>
      <c r="I33" s="177">
        <f ca="1" t="shared" si="6"/>
        <v>0</v>
      </c>
      <c r="J33" s="177">
        <f ca="1" t="shared" si="6"/>
        <v>0</v>
      </c>
      <c r="K33" s="177">
        <f ca="1" t="shared" si="6"/>
        <v>0</v>
      </c>
      <c r="L33" s="177">
        <f ca="1" t="shared" si="6"/>
        <v>0</v>
      </c>
      <c r="M33" s="177">
        <f ca="1" t="shared" si="6"/>
        <v>0</v>
      </c>
      <c r="N33" s="177">
        <f ca="1" t="shared" si="6"/>
        <v>0</v>
      </c>
      <c r="O33" s="177">
        <f ca="1" t="shared" si="6"/>
        <v>-661457.11</v>
      </c>
    </row>
    <row r="34" customFormat="1" ht="13.5" spans="2:15">
      <c r="B34" s="178" t="s">
        <v>349</v>
      </c>
      <c r="C34" s="177">
        <f ca="1" t="shared" si="6"/>
        <v>126383.99</v>
      </c>
      <c r="D34" s="177">
        <f ca="1" t="shared" si="6"/>
        <v>67831.02</v>
      </c>
      <c r="E34" s="177">
        <f ca="1" t="shared" si="6"/>
        <v>77167.77</v>
      </c>
      <c r="F34" s="177">
        <f ca="1" t="shared" si="6"/>
        <v>107701.95</v>
      </c>
      <c r="G34" s="177">
        <f ca="1" t="shared" si="6"/>
        <v>0</v>
      </c>
      <c r="H34" s="177">
        <f ca="1" t="shared" si="6"/>
        <v>0</v>
      </c>
      <c r="I34" s="177">
        <f ca="1" t="shared" si="6"/>
        <v>0</v>
      </c>
      <c r="J34" s="177">
        <f ca="1" t="shared" si="6"/>
        <v>0</v>
      </c>
      <c r="K34" s="177">
        <f ca="1" t="shared" si="6"/>
        <v>0</v>
      </c>
      <c r="L34" s="177">
        <f ca="1" t="shared" si="6"/>
        <v>0</v>
      </c>
      <c r="M34" s="177">
        <f ca="1" t="shared" si="6"/>
        <v>0</v>
      </c>
      <c r="N34" s="177">
        <f ca="1" t="shared" si="6"/>
        <v>0</v>
      </c>
      <c r="O34" s="177">
        <f ca="1" t="shared" si="6"/>
        <v>379084.73</v>
      </c>
    </row>
    <row r="35" customFormat="1" ht="13.5" spans="2:15">
      <c r="B35" s="178" t="s">
        <v>350</v>
      </c>
      <c r="C35" s="177">
        <f ca="1" t="shared" si="6"/>
        <v>4206.6</v>
      </c>
      <c r="D35" s="177">
        <f ca="1" t="shared" si="6"/>
        <v>-5454.1</v>
      </c>
      <c r="E35" s="177">
        <f ca="1" t="shared" si="6"/>
        <v>-5592.9</v>
      </c>
      <c r="F35" s="177">
        <f ca="1" t="shared" si="6"/>
        <v>4268.4</v>
      </c>
      <c r="G35" s="177">
        <f ca="1" t="shared" si="6"/>
        <v>0</v>
      </c>
      <c r="H35" s="177">
        <f ca="1" t="shared" si="6"/>
        <v>0</v>
      </c>
      <c r="I35" s="177">
        <f ca="1" t="shared" si="6"/>
        <v>0</v>
      </c>
      <c r="J35" s="177">
        <f ca="1" t="shared" si="6"/>
        <v>0</v>
      </c>
      <c r="K35" s="177">
        <f ca="1" t="shared" si="6"/>
        <v>0</v>
      </c>
      <c r="L35" s="177">
        <f ca="1" t="shared" si="6"/>
        <v>0</v>
      </c>
      <c r="M35" s="177">
        <f ca="1" t="shared" si="6"/>
        <v>0</v>
      </c>
      <c r="N35" s="177">
        <f ca="1" t="shared" si="6"/>
        <v>0</v>
      </c>
      <c r="O35" s="177">
        <f ca="1" t="shared" si="6"/>
        <v>-2572</v>
      </c>
    </row>
    <row r="36" customFormat="1" ht="13.5" spans="2:15">
      <c r="B36" s="178" t="s">
        <v>351</v>
      </c>
      <c r="C36" s="177">
        <f ca="1" t="shared" si="6"/>
        <v>478</v>
      </c>
      <c r="D36" s="177">
        <f ca="1" t="shared" si="6"/>
        <v>238</v>
      </c>
      <c r="E36" s="177">
        <f ca="1" t="shared" si="6"/>
        <v>-169.89</v>
      </c>
      <c r="F36" s="177">
        <f ca="1" t="shared" si="6"/>
        <v>364</v>
      </c>
      <c r="G36" s="177">
        <f ca="1" t="shared" si="6"/>
        <v>0</v>
      </c>
      <c r="H36" s="177">
        <f ca="1" t="shared" si="6"/>
        <v>0</v>
      </c>
      <c r="I36" s="177">
        <f ca="1" t="shared" si="6"/>
        <v>0</v>
      </c>
      <c r="J36" s="177">
        <f ca="1" t="shared" si="6"/>
        <v>0</v>
      </c>
      <c r="K36" s="177">
        <f ca="1" t="shared" si="6"/>
        <v>0</v>
      </c>
      <c r="L36" s="177">
        <f ca="1" t="shared" si="6"/>
        <v>0</v>
      </c>
      <c r="M36" s="177">
        <f ca="1" t="shared" si="6"/>
        <v>0</v>
      </c>
      <c r="N36" s="177">
        <f ca="1" t="shared" si="6"/>
        <v>0</v>
      </c>
      <c r="O36" s="177">
        <f ca="1" t="shared" si="6"/>
        <v>910.11</v>
      </c>
    </row>
    <row r="37" customFormat="1" ht="13.5" spans="2:15">
      <c r="B37" s="178" t="s">
        <v>352</v>
      </c>
      <c r="C37" s="177">
        <f ca="1" t="shared" si="6"/>
        <v>8</v>
      </c>
      <c r="D37" s="177">
        <f ca="1" t="shared" si="6"/>
        <v>4</v>
      </c>
      <c r="E37" s="177">
        <f ca="1" t="shared" si="6"/>
        <v>-861.5</v>
      </c>
      <c r="F37" s="177">
        <f ca="1" t="shared" si="6"/>
        <v>204</v>
      </c>
      <c r="G37" s="177">
        <f ca="1" t="shared" si="6"/>
        <v>0</v>
      </c>
      <c r="H37" s="177">
        <f ca="1" t="shared" si="6"/>
        <v>0</v>
      </c>
      <c r="I37" s="177">
        <f ca="1" t="shared" si="6"/>
        <v>0</v>
      </c>
      <c r="J37" s="177">
        <f ca="1" t="shared" si="6"/>
        <v>0</v>
      </c>
      <c r="K37" s="177">
        <f ca="1" t="shared" si="6"/>
        <v>0</v>
      </c>
      <c r="L37" s="177">
        <f ca="1" t="shared" si="6"/>
        <v>0</v>
      </c>
      <c r="M37" s="177">
        <f ca="1" t="shared" si="6"/>
        <v>0</v>
      </c>
      <c r="N37" s="177">
        <f ca="1" t="shared" si="6"/>
        <v>0</v>
      </c>
      <c r="O37" s="177">
        <f ca="1" t="shared" si="6"/>
        <v>-645.5</v>
      </c>
    </row>
    <row r="38" customFormat="1" ht="13.5" spans="2:15">
      <c r="B38" s="178" t="s">
        <v>353</v>
      </c>
      <c r="C38" s="177">
        <f ca="1" t="shared" si="6"/>
        <v>143066</v>
      </c>
      <c r="D38" s="177">
        <f ca="1" t="shared" si="6"/>
        <v>133819</v>
      </c>
      <c r="E38" s="177">
        <f ca="1" t="shared" si="6"/>
        <v>144063.44</v>
      </c>
      <c r="F38" s="177">
        <f ca="1" t="shared" si="6"/>
        <v>138339.82</v>
      </c>
      <c r="G38" s="177">
        <f ca="1" t="shared" si="6"/>
        <v>0</v>
      </c>
      <c r="H38" s="177">
        <f ca="1" t="shared" si="6"/>
        <v>0</v>
      </c>
      <c r="I38" s="177">
        <f ca="1" t="shared" si="6"/>
        <v>0</v>
      </c>
      <c r="J38" s="177">
        <f ca="1" t="shared" si="6"/>
        <v>0</v>
      </c>
      <c r="K38" s="177">
        <f ca="1" t="shared" si="6"/>
        <v>0</v>
      </c>
      <c r="L38" s="177">
        <f ca="1" t="shared" si="6"/>
        <v>0</v>
      </c>
      <c r="M38" s="177">
        <f ca="1" t="shared" si="6"/>
        <v>0</v>
      </c>
      <c r="N38" s="177">
        <f ca="1" t="shared" si="6"/>
        <v>0</v>
      </c>
      <c r="O38" s="177">
        <f ca="1" t="shared" si="6"/>
        <v>559288.26</v>
      </c>
    </row>
    <row r="39" customFormat="1" ht="13.5" spans="2:15">
      <c r="B39" s="178" t="s">
        <v>354</v>
      </c>
      <c r="C39" s="177">
        <f ca="1" t="shared" si="6"/>
        <v>142107.75</v>
      </c>
      <c r="D39" s="177">
        <f ca="1" t="shared" si="6"/>
        <v>47714.08</v>
      </c>
      <c r="E39" s="177">
        <f ca="1" t="shared" si="6"/>
        <v>65632.71</v>
      </c>
      <c r="F39" s="177">
        <f ca="1" t="shared" si="6"/>
        <v>34778</v>
      </c>
      <c r="G39" s="177">
        <f ca="1" t="shared" si="6"/>
        <v>0</v>
      </c>
      <c r="H39" s="177">
        <f ca="1" t="shared" si="6"/>
        <v>0</v>
      </c>
      <c r="I39" s="177">
        <f ca="1" t="shared" si="6"/>
        <v>0</v>
      </c>
      <c r="J39" s="177">
        <f ca="1" t="shared" si="6"/>
        <v>0</v>
      </c>
      <c r="K39" s="177">
        <f ca="1" t="shared" si="6"/>
        <v>0</v>
      </c>
      <c r="L39" s="177">
        <f ca="1" t="shared" si="6"/>
        <v>0</v>
      </c>
      <c r="M39" s="177">
        <f ca="1" t="shared" si="6"/>
        <v>0</v>
      </c>
      <c r="N39" s="177">
        <f ca="1" t="shared" si="6"/>
        <v>0</v>
      </c>
      <c r="O39" s="177">
        <f ca="1" t="shared" si="6"/>
        <v>290232.54</v>
      </c>
    </row>
    <row r="40" customFormat="1" ht="13.5" spans="2:15">
      <c r="B40" s="178" t="s">
        <v>355</v>
      </c>
      <c r="C40" s="177">
        <f ca="1" t="shared" si="6"/>
        <v>34</v>
      </c>
      <c r="D40" s="177">
        <f ca="1" t="shared" si="6"/>
        <v>32.2</v>
      </c>
      <c r="E40" s="177">
        <f ca="1" t="shared" si="6"/>
        <v>-1611.72</v>
      </c>
      <c r="F40" s="177">
        <f ca="1" t="shared" si="6"/>
        <v>230.4</v>
      </c>
      <c r="G40" s="177">
        <f ca="1" t="shared" si="6"/>
        <v>0</v>
      </c>
      <c r="H40" s="177">
        <f ca="1" t="shared" si="6"/>
        <v>0</v>
      </c>
      <c r="I40" s="177">
        <f ca="1" t="shared" si="6"/>
        <v>0</v>
      </c>
      <c r="J40" s="177">
        <f ca="1" t="shared" si="6"/>
        <v>0</v>
      </c>
      <c r="K40" s="177">
        <f ca="1" t="shared" si="6"/>
        <v>0</v>
      </c>
      <c r="L40" s="177">
        <f ca="1" t="shared" si="6"/>
        <v>0</v>
      </c>
      <c r="M40" s="177">
        <f ca="1" t="shared" si="6"/>
        <v>0</v>
      </c>
      <c r="N40" s="177">
        <f ca="1" t="shared" si="6"/>
        <v>0</v>
      </c>
      <c r="O40" s="177">
        <f ca="1" t="shared" si="6"/>
        <v>-1315.12</v>
      </c>
    </row>
    <row r="41" customFormat="1" ht="13.5" spans="2:15">
      <c r="B41" s="178" t="s">
        <v>356</v>
      </c>
      <c r="C41" s="177">
        <f ca="1" t="shared" si="6"/>
        <v>116464.03</v>
      </c>
      <c r="D41" s="177">
        <f ca="1" t="shared" si="6"/>
        <v>-176713.65</v>
      </c>
      <c r="E41" s="177">
        <f ca="1" t="shared" si="6"/>
        <v>-280693.12</v>
      </c>
      <c r="F41" s="177">
        <f ca="1" t="shared" si="6"/>
        <v>114529.15</v>
      </c>
      <c r="G41" s="177">
        <f ca="1" t="shared" si="6"/>
        <v>0</v>
      </c>
      <c r="H41" s="177">
        <f ca="1" t="shared" si="6"/>
        <v>0</v>
      </c>
      <c r="I41" s="177">
        <f ca="1" t="shared" si="6"/>
        <v>0</v>
      </c>
      <c r="J41" s="177">
        <f ca="1" t="shared" si="6"/>
        <v>0</v>
      </c>
      <c r="K41" s="177">
        <f ca="1" t="shared" si="6"/>
        <v>0</v>
      </c>
      <c r="L41" s="177">
        <f ca="1" t="shared" si="6"/>
        <v>0</v>
      </c>
      <c r="M41" s="177">
        <f ca="1" t="shared" si="6"/>
        <v>0</v>
      </c>
      <c r="N41" s="177">
        <f ca="1" t="shared" si="6"/>
        <v>0</v>
      </c>
      <c r="O41" s="177">
        <f ca="1" t="shared" si="6"/>
        <v>-226413.59</v>
      </c>
    </row>
    <row r="42" customFormat="1" ht="13.5" spans="2:15">
      <c r="B42" s="178" t="s">
        <v>357</v>
      </c>
      <c r="C42" s="177">
        <f ca="1" t="shared" si="6"/>
        <v>1014230.99</v>
      </c>
      <c r="D42" s="177">
        <f ca="1" t="shared" si="6"/>
        <v>1063469.65</v>
      </c>
      <c r="E42" s="177">
        <f ca="1" t="shared" si="6"/>
        <v>617278.47</v>
      </c>
      <c r="F42" s="177">
        <f ca="1" t="shared" si="6"/>
        <v>1847712.19</v>
      </c>
      <c r="G42" s="177">
        <f ca="1" t="shared" si="6"/>
        <v>0</v>
      </c>
      <c r="H42" s="177">
        <f ca="1" t="shared" ref="D42:O44" si="7">IFERROR(INDIRECT("'"&amp;$B42&amp;"'"&amp;"!"&amp;H$21&amp;"13"),"")</f>
        <v>0</v>
      </c>
      <c r="I42" s="177">
        <f ca="1" t="shared" si="7"/>
        <v>0</v>
      </c>
      <c r="J42" s="177">
        <f ca="1" t="shared" si="7"/>
        <v>0</v>
      </c>
      <c r="K42" s="177">
        <f ca="1" t="shared" si="7"/>
        <v>0</v>
      </c>
      <c r="L42" s="177">
        <f ca="1" t="shared" si="7"/>
        <v>0</v>
      </c>
      <c r="M42" s="177">
        <f ca="1" t="shared" si="7"/>
        <v>0</v>
      </c>
      <c r="N42" s="177">
        <f ca="1" t="shared" si="7"/>
        <v>0</v>
      </c>
      <c r="O42" s="177">
        <f ca="1" t="shared" si="7"/>
        <v>4542691.3</v>
      </c>
    </row>
    <row r="43" spans="2:15">
      <c r="B43" s="176" t="s">
        <v>358</v>
      </c>
      <c r="C43" s="177">
        <f ca="1" t="shared" si="6"/>
        <v>0</v>
      </c>
      <c r="D43" s="177">
        <f ca="1" t="shared" si="7"/>
        <v>0</v>
      </c>
      <c r="E43" s="177">
        <f ca="1" t="shared" si="7"/>
        <v>0</v>
      </c>
      <c r="F43" s="177">
        <f ca="1" t="shared" si="7"/>
        <v>977.54</v>
      </c>
      <c r="G43" s="177">
        <f ca="1" t="shared" si="7"/>
        <v>0</v>
      </c>
      <c r="H43" s="177">
        <f ca="1" t="shared" si="7"/>
        <v>0</v>
      </c>
      <c r="I43" s="177">
        <f ca="1" t="shared" si="7"/>
        <v>0</v>
      </c>
      <c r="J43" s="177">
        <f ca="1" t="shared" si="7"/>
        <v>0</v>
      </c>
      <c r="K43" s="177">
        <f ca="1" t="shared" si="7"/>
        <v>0</v>
      </c>
      <c r="L43" s="177">
        <f ca="1" t="shared" si="7"/>
        <v>0</v>
      </c>
      <c r="M43" s="177">
        <f ca="1" t="shared" si="7"/>
        <v>0</v>
      </c>
      <c r="N43" s="177">
        <f ca="1" t="shared" si="7"/>
        <v>0</v>
      </c>
      <c r="O43" s="177">
        <f ca="1" t="shared" si="7"/>
        <v>977.54</v>
      </c>
    </row>
    <row r="44" spans="2:15">
      <c r="B44" s="176" t="s">
        <v>359</v>
      </c>
      <c r="C44" s="177">
        <f ca="1" t="shared" si="6"/>
        <v>0</v>
      </c>
      <c r="D44" s="177">
        <f ca="1" t="shared" si="7"/>
        <v>0</v>
      </c>
      <c r="E44" s="177">
        <f ca="1" t="shared" si="7"/>
        <v>1362.1</v>
      </c>
      <c r="F44" s="177">
        <f ca="1" t="shared" si="7"/>
        <v>331</v>
      </c>
      <c r="G44" s="177">
        <f ca="1" t="shared" si="7"/>
        <v>0</v>
      </c>
      <c r="H44" s="177">
        <f ca="1" t="shared" si="7"/>
        <v>0</v>
      </c>
      <c r="I44" s="177">
        <f ca="1" t="shared" si="7"/>
        <v>0</v>
      </c>
      <c r="J44" s="177">
        <f ca="1" t="shared" si="7"/>
        <v>0</v>
      </c>
      <c r="K44" s="177">
        <f ca="1" t="shared" si="7"/>
        <v>0</v>
      </c>
      <c r="L44" s="177">
        <f ca="1" t="shared" si="7"/>
        <v>0</v>
      </c>
      <c r="M44" s="177">
        <f ca="1" t="shared" si="7"/>
        <v>0</v>
      </c>
      <c r="N44" s="177">
        <f ca="1" t="shared" si="7"/>
        <v>0</v>
      </c>
      <c r="O44" s="177">
        <f ca="1" t="shared" si="7"/>
        <v>1693.1</v>
      </c>
    </row>
    <row r="45" spans="2:15">
      <c r="B45" s="173" t="s">
        <v>12</v>
      </c>
      <c r="C45" s="176">
        <f ca="1">SUM(C22:C44)</f>
        <v>6412465.45</v>
      </c>
      <c r="D45" s="176">
        <f ca="1" t="shared" ref="D45:O45" si="8">SUM(D22:D44)</f>
        <v>3278960.28</v>
      </c>
      <c r="E45" s="176">
        <f ca="1" t="shared" si="8"/>
        <v>5665449.9</v>
      </c>
      <c r="F45" s="176">
        <f ca="1" t="shared" si="8"/>
        <v>5837091.72</v>
      </c>
      <c r="G45" s="176">
        <f ca="1" t="shared" si="8"/>
        <v>0</v>
      </c>
      <c r="H45" s="176">
        <f ca="1" t="shared" si="8"/>
        <v>0</v>
      </c>
      <c r="I45" s="176">
        <f ca="1" t="shared" si="8"/>
        <v>0</v>
      </c>
      <c r="J45" s="176">
        <f ca="1" t="shared" si="8"/>
        <v>0</v>
      </c>
      <c r="K45" s="176">
        <f ca="1" t="shared" si="8"/>
        <v>0</v>
      </c>
      <c r="L45" s="176">
        <f ca="1" t="shared" si="8"/>
        <v>0</v>
      </c>
      <c r="M45" s="176">
        <f ca="1" t="shared" si="8"/>
        <v>0</v>
      </c>
      <c r="N45" s="176">
        <f ca="1" t="shared" si="8"/>
        <v>0</v>
      </c>
      <c r="O45" s="176">
        <f ca="1" t="shared" si="8"/>
        <v>21193967.35</v>
      </c>
    </row>
    <row r="46" spans="2:15">
      <c r="B46" s="173" t="s">
        <v>13</v>
      </c>
      <c r="C46" s="176">
        <f ca="1">SUM('C-高新:C-浙江天硕'!C13)-C45</f>
        <v>0</v>
      </c>
      <c r="D46" s="176">
        <f ca="1">SUM('C-高新:C-浙江天硕'!D13)-D45</f>
        <v>0</v>
      </c>
      <c r="E46" s="176">
        <f ca="1">SUM('C-高新:C-浙江天硕'!E13)-E45</f>
        <v>0</v>
      </c>
      <c r="F46" s="176">
        <f ca="1">SUM('C-高新:C-浙江天硕'!F13)-F45</f>
        <v>0</v>
      </c>
      <c r="G46" s="176">
        <f ca="1">SUM('C-高新:C-浙江天硕'!G13)-G45</f>
        <v>0</v>
      </c>
      <c r="H46" s="176">
        <f ca="1">SUM('C-高新:C-浙江天硕'!H13)-H45</f>
        <v>0</v>
      </c>
      <c r="I46" s="176">
        <f ca="1">SUM('C-高新:C-浙江天硕'!I13)-I45</f>
        <v>0</v>
      </c>
      <c r="J46" s="176">
        <f ca="1">SUM('C-高新:C-浙江天硕'!J13)-J45</f>
        <v>0</v>
      </c>
      <c r="K46" s="176">
        <f ca="1">SUM('C-高新:C-浙江天硕'!K13)-K45</f>
        <v>0</v>
      </c>
      <c r="L46" s="176">
        <f ca="1">SUM('C-高新:C-浙江天硕'!L13)-L45</f>
        <v>0</v>
      </c>
      <c r="M46" s="176">
        <f ca="1">SUM('C-高新:C-浙江天硕'!M13)-M45</f>
        <v>0</v>
      </c>
      <c r="N46" s="176">
        <f ca="1">SUM('C-高新:C-浙江天硕'!N13)-N45</f>
        <v>0</v>
      </c>
      <c r="O46" s="176">
        <f ca="1">SUM('C-高新:C-浙江天硕'!O13)-O45</f>
        <v>0</v>
      </c>
    </row>
  </sheetData>
  <mergeCells count="8">
    <mergeCell ref="A1:C1"/>
    <mergeCell ref="C4:N4"/>
    <mergeCell ref="A13:B13"/>
    <mergeCell ref="A4:A5"/>
    <mergeCell ref="A6:A7"/>
    <mergeCell ref="A10:A11"/>
    <mergeCell ref="B4:B5"/>
    <mergeCell ref="O4:O5"/>
  </mergeCells>
  <conditionalFormatting sqref="A15:II15">
    <cfRule type="cellIs" dxfId="0" priority="1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83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C13" sqref="C13"/>
    </sheetView>
  </sheetViews>
  <sheetFormatPr defaultColWidth="9" defaultRowHeight="12.75"/>
  <cols>
    <col min="1" max="1" width="16.25" style="159" customWidth="1"/>
    <col min="2" max="2" width="12.5" style="159" customWidth="1"/>
    <col min="3" max="14" width="14.25" style="159" customWidth="1"/>
    <col min="15" max="15" width="18.375" style="159" customWidth="1"/>
    <col min="16" max="16" width="9.125" style="159" customWidth="1"/>
    <col min="17" max="256" width="9" style="159"/>
    <col min="257" max="257" width="16.25" style="159" customWidth="1"/>
    <col min="258" max="259" width="12.5" style="159" customWidth="1"/>
    <col min="260" max="260" width="11" style="159" customWidth="1"/>
    <col min="261" max="261" width="9.875" style="159" customWidth="1"/>
    <col min="262" max="262" width="11.75" style="159" customWidth="1"/>
    <col min="263" max="269" width="11" style="159" customWidth="1"/>
    <col min="270" max="270" width="25.75" style="159" customWidth="1"/>
    <col min="271" max="271" width="9" style="159"/>
    <col min="272" max="272" width="9.125" style="159" customWidth="1"/>
    <col min="273" max="512" width="9" style="159"/>
    <col min="513" max="513" width="16.25" style="159" customWidth="1"/>
    <col min="514" max="515" width="12.5" style="159" customWidth="1"/>
    <col min="516" max="516" width="11" style="159" customWidth="1"/>
    <col min="517" max="517" width="9.875" style="159" customWidth="1"/>
    <col min="518" max="518" width="11.75" style="159" customWidth="1"/>
    <col min="519" max="525" width="11" style="159" customWidth="1"/>
    <col min="526" max="526" width="25.75" style="159" customWidth="1"/>
    <col min="527" max="527" width="9" style="159"/>
    <col min="528" max="528" width="9.125" style="159" customWidth="1"/>
    <col min="529" max="768" width="9" style="159"/>
    <col min="769" max="769" width="16.25" style="159" customWidth="1"/>
    <col min="770" max="771" width="12.5" style="159" customWidth="1"/>
    <col min="772" max="772" width="11" style="159" customWidth="1"/>
    <col min="773" max="773" width="9.875" style="159" customWidth="1"/>
    <col min="774" max="774" width="11.75" style="159" customWidth="1"/>
    <col min="775" max="781" width="11" style="159" customWidth="1"/>
    <col min="782" max="782" width="25.75" style="159" customWidth="1"/>
    <col min="783" max="783" width="9" style="159"/>
    <col min="784" max="784" width="9.125" style="159" customWidth="1"/>
    <col min="785" max="1024" width="9" style="159"/>
    <col min="1025" max="1025" width="16.25" style="159" customWidth="1"/>
    <col min="1026" max="1027" width="12.5" style="159" customWidth="1"/>
    <col min="1028" max="1028" width="11" style="159" customWidth="1"/>
    <col min="1029" max="1029" width="9.875" style="159" customWidth="1"/>
    <col min="1030" max="1030" width="11.75" style="159" customWidth="1"/>
    <col min="1031" max="1037" width="11" style="159" customWidth="1"/>
    <col min="1038" max="1038" width="25.75" style="159" customWidth="1"/>
    <col min="1039" max="1039" width="9" style="159"/>
    <col min="1040" max="1040" width="9.125" style="159" customWidth="1"/>
    <col min="1041" max="1280" width="9" style="159"/>
    <col min="1281" max="1281" width="16.25" style="159" customWidth="1"/>
    <col min="1282" max="1283" width="12.5" style="159" customWidth="1"/>
    <col min="1284" max="1284" width="11" style="159" customWidth="1"/>
    <col min="1285" max="1285" width="9.875" style="159" customWidth="1"/>
    <col min="1286" max="1286" width="11.75" style="159" customWidth="1"/>
    <col min="1287" max="1293" width="11" style="159" customWidth="1"/>
    <col min="1294" max="1294" width="25.75" style="159" customWidth="1"/>
    <col min="1295" max="1295" width="9" style="159"/>
    <col min="1296" max="1296" width="9.125" style="159" customWidth="1"/>
    <col min="1297" max="1536" width="9" style="159"/>
    <col min="1537" max="1537" width="16.25" style="159" customWidth="1"/>
    <col min="1538" max="1539" width="12.5" style="159" customWidth="1"/>
    <col min="1540" max="1540" width="11" style="159" customWidth="1"/>
    <col min="1541" max="1541" width="9.875" style="159" customWidth="1"/>
    <col min="1542" max="1542" width="11.75" style="159" customWidth="1"/>
    <col min="1543" max="1549" width="11" style="159" customWidth="1"/>
    <col min="1550" max="1550" width="25.75" style="159" customWidth="1"/>
    <col min="1551" max="1551" width="9" style="159"/>
    <col min="1552" max="1552" width="9.125" style="159" customWidth="1"/>
    <col min="1553" max="1792" width="9" style="159"/>
    <col min="1793" max="1793" width="16.25" style="159" customWidth="1"/>
    <col min="1794" max="1795" width="12.5" style="159" customWidth="1"/>
    <col min="1796" max="1796" width="11" style="159" customWidth="1"/>
    <col min="1797" max="1797" width="9.875" style="159" customWidth="1"/>
    <col min="1798" max="1798" width="11.75" style="159" customWidth="1"/>
    <col min="1799" max="1805" width="11" style="159" customWidth="1"/>
    <col min="1806" max="1806" width="25.75" style="159" customWidth="1"/>
    <col min="1807" max="1807" width="9" style="159"/>
    <col min="1808" max="1808" width="9.125" style="159" customWidth="1"/>
    <col min="1809" max="2048" width="9" style="159"/>
    <col min="2049" max="2049" width="16.25" style="159" customWidth="1"/>
    <col min="2050" max="2051" width="12.5" style="159" customWidth="1"/>
    <col min="2052" max="2052" width="11" style="159" customWidth="1"/>
    <col min="2053" max="2053" width="9.875" style="159" customWidth="1"/>
    <col min="2054" max="2054" width="11.75" style="159" customWidth="1"/>
    <col min="2055" max="2061" width="11" style="159" customWidth="1"/>
    <col min="2062" max="2062" width="25.75" style="159" customWidth="1"/>
    <col min="2063" max="2063" width="9" style="159"/>
    <col min="2064" max="2064" width="9.125" style="159" customWidth="1"/>
    <col min="2065" max="2304" width="9" style="159"/>
    <col min="2305" max="2305" width="16.25" style="159" customWidth="1"/>
    <col min="2306" max="2307" width="12.5" style="159" customWidth="1"/>
    <col min="2308" max="2308" width="11" style="159" customWidth="1"/>
    <col min="2309" max="2309" width="9.875" style="159" customWidth="1"/>
    <col min="2310" max="2310" width="11.75" style="159" customWidth="1"/>
    <col min="2311" max="2317" width="11" style="159" customWidth="1"/>
    <col min="2318" max="2318" width="25.75" style="159" customWidth="1"/>
    <col min="2319" max="2319" width="9" style="159"/>
    <col min="2320" max="2320" width="9.125" style="159" customWidth="1"/>
    <col min="2321" max="2560" width="9" style="159"/>
    <col min="2561" max="2561" width="16.25" style="159" customWidth="1"/>
    <col min="2562" max="2563" width="12.5" style="159" customWidth="1"/>
    <col min="2564" max="2564" width="11" style="159" customWidth="1"/>
    <col min="2565" max="2565" width="9.875" style="159" customWidth="1"/>
    <col min="2566" max="2566" width="11.75" style="159" customWidth="1"/>
    <col min="2567" max="2573" width="11" style="159" customWidth="1"/>
    <col min="2574" max="2574" width="25.75" style="159" customWidth="1"/>
    <col min="2575" max="2575" width="9" style="159"/>
    <col min="2576" max="2576" width="9.125" style="159" customWidth="1"/>
    <col min="2577" max="2816" width="9" style="159"/>
    <col min="2817" max="2817" width="16.25" style="159" customWidth="1"/>
    <col min="2818" max="2819" width="12.5" style="159" customWidth="1"/>
    <col min="2820" max="2820" width="11" style="159" customWidth="1"/>
    <col min="2821" max="2821" width="9.875" style="159" customWidth="1"/>
    <col min="2822" max="2822" width="11.75" style="159" customWidth="1"/>
    <col min="2823" max="2829" width="11" style="159" customWidth="1"/>
    <col min="2830" max="2830" width="25.75" style="159" customWidth="1"/>
    <col min="2831" max="2831" width="9" style="159"/>
    <col min="2832" max="2832" width="9.125" style="159" customWidth="1"/>
    <col min="2833" max="3072" width="9" style="159"/>
    <col min="3073" max="3073" width="16.25" style="159" customWidth="1"/>
    <col min="3074" max="3075" width="12.5" style="159" customWidth="1"/>
    <col min="3076" max="3076" width="11" style="159" customWidth="1"/>
    <col min="3077" max="3077" width="9.875" style="159" customWidth="1"/>
    <col min="3078" max="3078" width="11.75" style="159" customWidth="1"/>
    <col min="3079" max="3085" width="11" style="159" customWidth="1"/>
    <col min="3086" max="3086" width="25.75" style="159" customWidth="1"/>
    <col min="3087" max="3087" width="9" style="159"/>
    <col min="3088" max="3088" width="9.125" style="159" customWidth="1"/>
    <col min="3089" max="3328" width="9" style="159"/>
    <col min="3329" max="3329" width="16.25" style="159" customWidth="1"/>
    <col min="3330" max="3331" width="12.5" style="159" customWidth="1"/>
    <col min="3332" max="3332" width="11" style="159" customWidth="1"/>
    <col min="3333" max="3333" width="9.875" style="159" customWidth="1"/>
    <col min="3334" max="3334" width="11.75" style="159" customWidth="1"/>
    <col min="3335" max="3341" width="11" style="159" customWidth="1"/>
    <col min="3342" max="3342" width="25.75" style="159" customWidth="1"/>
    <col min="3343" max="3343" width="9" style="159"/>
    <col min="3344" max="3344" width="9.125" style="159" customWidth="1"/>
    <col min="3345" max="3584" width="9" style="159"/>
    <col min="3585" max="3585" width="16.25" style="159" customWidth="1"/>
    <col min="3586" max="3587" width="12.5" style="159" customWidth="1"/>
    <col min="3588" max="3588" width="11" style="159" customWidth="1"/>
    <col min="3589" max="3589" width="9.875" style="159" customWidth="1"/>
    <col min="3590" max="3590" width="11.75" style="159" customWidth="1"/>
    <col min="3591" max="3597" width="11" style="159" customWidth="1"/>
    <col min="3598" max="3598" width="25.75" style="159" customWidth="1"/>
    <col min="3599" max="3599" width="9" style="159"/>
    <col min="3600" max="3600" width="9.125" style="159" customWidth="1"/>
    <col min="3601" max="3840" width="9" style="159"/>
    <col min="3841" max="3841" width="16.25" style="159" customWidth="1"/>
    <col min="3842" max="3843" width="12.5" style="159" customWidth="1"/>
    <col min="3844" max="3844" width="11" style="159" customWidth="1"/>
    <col min="3845" max="3845" width="9.875" style="159" customWidth="1"/>
    <col min="3846" max="3846" width="11.75" style="159" customWidth="1"/>
    <col min="3847" max="3853" width="11" style="159" customWidth="1"/>
    <col min="3854" max="3854" width="25.75" style="159" customWidth="1"/>
    <col min="3855" max="3855" width="9" style="159"/>
    <col min="3856" max="3856" width="9.125" style="159" customWidth="1"/>
    <col min="3857" max="4096" width="9" style="159"/>
    <col min="4097" max="4097" width="16.25" style="159" customWidth="1"/>
    <col min="4098" max="4099" width="12.5" style="159" customWidth="1"/>
    <col min="4100" max="4100" width="11" style="159" customWidth="1"/>
    <col min="4101" max="4101" width="9.875" style="159" customWidth="1"/>
    <col min="4102" max="4102" width="11.75" style="159" customWidth="1"/>
    <col min="4103" max="4109" width="11" style="159" customWidth="1"/>
    <col min="4110" max="4110" width="25.75" style="159" customWidth="1"/>
    <col min="4111" max="4111" width="9" style="159"/>
    <col min="4112" max="4112" width="9.125" style="159" customWidth="1"/>
    <col min="4113" max="4352" width="9" style="159"/>
    <col min="4353" max="4353" width="16.25" style="159" customWidth="1"/>
    <col min="4354" max="4355" width="12.5" style="159" customWidth="1"/>
    <col min="4356" max="4356" width="11" style="159" customWidth="1"/>
    <col min="4357" max="4357" width="9.875" style="159" customWidth="1"/>
    <col min="4358" max="4358" width="11.75" style="159" customWidth="1"/>
    <col min="4359" max="4365" width="11" style="159" customWidth="1"/>
    <col min="4366" max="4366" width="25.75" style="159" customWidth="1"/>
    <col min="4367" max="4367" width="9" style="159"/>
    <col min="4368" max="4368" width="9.125" style="159" customWidth="1"/>
    <col min="4369" max="4608" width="9" style="159"/>
    <col min="4609" max="4609" width="16.25" style="159" customWidth="1"/>
    <col min="4610" max="4611" width="12.5" style="159" customWidth="1"/>
    <col min="4612" max="4612" width="11" style="159" customWidth="1"/>
    <col min="4613" max="4613" width="9.875" style="159" customWidth="1"/>
    <col min="4614" max="4614" width="11.75" style="159" customWidth="1"/>
    <col min="4615" max="4621" width="11" style="159" customWidth="1"/>
    <col min="4622" max="4622" width="25.75" style="159" customWidth="1"/>
    <col min="4623" max="4623" width="9" style="159"/>
    <col min="4624" max="4624" width="9.125" style="159" customWidth="1"/>
    <col min="4625" max="4864" width="9" style="159"/>
    <col min="4865" max="4865" width="16.25" style="159" customWidth="1"/>
    <col min="4866" max="4867" width="12.5" style="159" customWidth="1"/>
    <col min="4868" max="4868" width="11" style="159" customWidth="1"/>
    <col min="4869" max="4869" width="9.875" style="159" customWidth="1"/>
    <col min="4870" max="4870" width="11.75" style="159" customWidth="1"/>
    <col min="4871" max="4877" width="11" style="159" customWidth="1"/>
    <col min="4878" max="4878" width="25.75" style="159" customWidth="1"/>
    <col min="4879" max="4879" width="9" style="159"/>
    <col min="4880" max="4880" width="9.125" style="159" customWidth="1"/>
    <col min="4881" max="5120" width="9" style="159"/>
    <col min="5121" max="5121" width="16.25" style="159" customWidth="1"/>
    <col min="5122" max="5123" width="12.5" style="159" customWidth="1"/>
    <col min="5124" max="5124" width="11" style="159" customWidth="1"/>
    <col min="5125" max="5125" width="9.875" style="159" customWidth="1"/>
    <col min="5126" max="5126" width="11.75" style="159" customWidth="1"/>
    <col min="5127" max="5133" width="11" style="159" customWidth="1"/>
    <col min="5134" max="5134" width="25.75" style="159" customWidth="1"/>
    <col min="5135" max="5135" width="9" style="159"/>
    <col min="5136" max="5136" width="9.125" style="159" customWidth="1"/>
    <col min="5137" max="5376" width="9" style="159"/>
    <col min="5377" max="5377" width="16.25" style="159" customWidth="1"/>
    <col min="5378" max="5379" width="12.5" style="159" customWidth="1"/>
    <col min="5380" max="5380" width="11" style="159" customWidth="1"/>
    <col min="5381" max="5381" width="9.875" style="159" customWidth="1"/>
    <col min="5382" max="5382" width="11.75" style="159" customWidth="1"/>
    <col min="5383" max="5389" width="11" style="159" customWidth="1"/>
    <col min="5390" max="5390" width="25.75" style="159" customWidth="1"/>
    <col min="5391" max="5391" width="9" style="159"/>
    <col min="5392" max="5392" width="9.125" style="159" customWidth="1"/>
    <col min="5393" max="5632" width="9" style="159"/>
    <col min="5633" max="5633" width="16.25" style="159" customWidth="1"/>
    <col min="5634" max="5635" width="12.5" style="159" customWidth="1"/>
    <col min="5636" max="5636" width="11" style="159" customWidth="1"/>
    <col min="5637" max="5637" width="9.875" style="159" customWidth="1"/>
    <col min="5638" max="5638" width="11.75" style="159" customWidth="1"/>
    <col min="5639" max="5645" width="11" style="159" customWidth="1"/>
    <col min="5646" max="5646" width="25.75" style="159" customWidth="1"/>
    <col min="5647" max="5647" width="9" style="159"/>
    <col min="5648" max="5648" width="9.125" style="159" customWidth="1"/>
    <col min="5649" max="5888" width="9" style="159"/>
    <col min="5889" max="5889" width="16.25" style="159" customWidth="1"/>
    <col min="5890" max="5891" width="12.5" style="159" customWidth="1"/>
    <col min="5892" max="5892" width="11" style="159" customWidth="1"/>
    <col min="5893" max="5893" width="9.875" style="159" customWidth="1"/>
    <col min="5894" max="5894" width="11.75" style="159" customWidth="1"/>
    <col min="5895" max="5901" width="11" style="159" customWidth="1"/>
    <col min="5902" max="5902" width="25.75" style="159" customWidth="1"/>
    <col min="5903" max="5903" width="9" style="159"/>
    <col min="5904" max="5904" width="9.125" style="159" customWidth="1"/>
    <col min="5905" max="6144" width="9" style="159"/>
    <col min="6145" max="6145" width="16.25" style="159" customWidth="1"/>
    <col min="6146" max="6147" width="12.5" style="159" customWidth="1"/>
    <col min="6148" max="6148" width="11" style="159" customWidth="1"/>
    <col min="6149" max="6149" width="9.875" style="159" customWidth="1"/>
    <col min="6150" max="6150" width="11.75" style="159" customWidth="1"/>
    <col min="6151" max="6157" width="11" style="159" customWidth="1"/>
    <col min="6158" max="6158" width="25.75" style="159" customWidth="1"/>
    <col min="6159" max="6159" width="9" style="159"/>
    <col min="6160" max="6160" width="9.125" style="159" customWidth="1"/>
    <col min="6161" max="6400" width="9" style="159"/>
    <col min="6401" max="6401" width="16.25" style="159" customWidth="1"/>
    <col min="6402" max="6403" width="12.5" style="159" customWidth="1"/>
    <col min="6404" max="6404" width="11" style="159" customWidth="1"/>
    <col min="6405" max="6405" width="9.875" style="159" customWidth="1"/>
    <col min="6406" max="6406" width="11.75" style="159" customWidth="1"/>
    <col min="6407" max="6413" width="11" style="159" customWidth="1"/>
    <col min="6414" max="6414" width="25.75" style="159" customWidth="1"/>
    <col min="6415" max="6415" width="9" style="159"/>
    <col min="6416" max="6416" width="9.125" style="159" customWidth="1"/>
    <col min="6417" max="6656" width="9" style="159"/>
    <col min="6657" max="6657" width="16.25" style="159" customWidth="1"/>
    <col min="6658" max="6659" width="12.5" style="159" customWidth="1"/>
    <col min="6660" max="6660" width="11" style="159" customWidth="1"/>
    <col min="6661" max="6661" width="9.875" style="159" customWidth="1"/>
    <col min="6662" max="6662" width="11.75" style="159" customWidth="1"/>
    <col min="6663" max="6669" width="11" style="159" customWidth="1"/>
    <col min="6670" max="6670" width="25.75" style="159" customWidth="1"/>
    <col min="6671" max="6671" width="9" style="159"/>
    <col min="6672" max="6672" width="9.125" style="159" customWidth="1"/>
    <col min="6673" max="6912" width="9" style="159"/>
    <col min="6913" max="6913" width="16.25" style="159" customWidth="1"/>
    <col min="6914" max="6915" width="12.5" style="159" customWidth="1"/>
    <col min="6916" max="6916" width="11" style="159" customWidth="1"/>
    <col min="6917" max="6917" width="9.875" style="159" customWidth="1"/>
    <col min="6918" max="6918" width="11.75" style="159" customWidth="1"/>
    <col min="6919" max="6925" width="11" style="159" customWidth="1"/>
    <col min="6926" max="6926" width="25.75" style="159" customWidth="1"/>
    <col min="6927" max="6927" width="9" style="159"/>
    <col min="6928" max="6928" width="9.125" style="159" customWidth="1"/>
    <col min="6929" max="7168" width="9" style="159"/>
    <col min="7169" max="7169" width="16.25" style="159" customWidth="1"/>
    <col min="7170" max="7171" width="12.5" style="159" customWidth="1"/>
    <col min="7172" max="7172" width="11" style="159" customWidth="1"/>
    <col min="7173" max="7173" width="9.875" style="159" customWidth="1"/>
    <col min="7174" max="7174" width="11.75" style="159" customWidth="1"/>
    <col min="7175" max="7181" width="11" style="159" customWidth="1"/>
    <col min="7182" max="7182" width="25.75" style="159" customWidth="1"/>
    <col min="7183" max="7183" width="9" style="159"/>
    <col min="7184" max="7184" width="9.125" style="159" customWidth="1"/>
    <col min="7185" max="7424" width="9" style="159"/>
    <col min="7425" max="7425" width="16.25" style="159" customWidth="1"/>
    <col min="7426" max="7427" width="12.5" style="159" customWidth="1"/>
    <col min="7428" max="7428" width="11" style="159" customWidth="1"/>
    <col min="7429" max="7429" width="9.875" style="159" customWidth="1"/>
    <col min="7430" max="7430" width="11.75" style="159" customWidth="1"/>
    <col min="7431" max="7437" width="11" style="159" customWidth="1"/>
    <col min="7438" max="7438" width="25.75" style="159" customWidth="1"/>
    <col min="7439" max="7439" width="9" style="159"/>
    <col min="7440" max="7440" width="9.125" style="159" customWidth="1"/>
    <col min="7441" max="7680" width="9" style="159"/>
    <col min="7681" max="7681" width="16.25" style="159" customWidth="1"/>
    <col min="7682" max="7683" width="12.5" style="159" customWidth="1"/>
    <col min="7684" max="7684" width="11" style="159" customWidth="1"/>
    <col min="7685" max="7685" width="9.875" style="159" customWidth="1"/>
    <col min="7686" max="7686" width="11.75" style="159" customWidth="1"/>
    <col min="7687" max="7693" width="11" style="159" customWidth="1"/>
    <col min="7694" max="7694" width="25.75" style="159" customWidth="1"/>
    <col min="7695" max="7695" width="9" style="159"/>
    <col min="7696" max="7696" width="9.125" style="159" customWidth="1"/>
    <col min="7697" max="7936" width="9" style="159"/>
    <col min="7937" max="7937" width="16.25" style="159" customWidth="1"/>
    <col min="7938" max="7939" width="12.5" style="159" customWidth="1"/>
    <col min="7940" max="7940" width="11" style="159" customWidth="1"/>
    <col min="7941" max="7941" width="9.875" style="159" customWidth="1"/>
    <col min="7942" max="7942" width="11.75" style="159" customWidth="1"/>
    <col min="7943" max="7949" width="11" style="159" customWidth="1"/>
    <col min="7950" max="7950" width="25.75" style="159" customWidth="1"/>
    <col min="7951" max="7951" width="9" style="159"/>
    <col min="7952" max="7952" width="9.125" style="159" customWidth="1"/>
    <col min="7953" max="8192" width="9" style="159"/>
    <col min="8193" max="8193" width="16.25" style="159" customWidth="1"/>
    <col min="8194" max="8195" width="12.5" style="159" customWidth="1"/>
    <col min="8196" max="8196" width="11" style="159" customWidth="1"/>
    <col min="8197" max="8197" width="9.875" style="159" customWidth="1"/>
    <col min="8198" max="8198" width="11.75" style="159" customWidth="1"/>
    <col min="8199" max="8205" width="11" style="159" customWidth="1"/>
    <col min="8206" max="8206" width="25.75" style="159" customWidth="1"/>
    <col min="8207" max="8207" width="9" style="159"/>
    <col min="8208" max="8208" width="9.125" style="159" customWidth="1"/>
    <col min="8209" max="8448" width="9" style="159"/>
    <col min="8449" max="8449" width="16.25" style="159" customWidth="1"/>
    <col min="8450" max="8451" width="12.5" style="159" customWidth="1"/>
    <col min="8452" max="8452" width="11" style="159" customWidth="1"/>
    <col min="8453" max="8453" width="9.875" style="159" customWidth="1"/>
    <col min="8454" max="8454" width="11.75" style="159" customWidth="1"/>
    <col min="8455" max="8461" width="11" style="159" customWidth="1"/>
    <col min="8462" max="8462" width="25.75" style="159" customWidth="1"/>
    <col min="8463" max="8463" width="9" style="159"/>
    <col min="8464" max="8464" width="9.125" style="159" customWidth="1"/>
    <col min="8465" max="8704" width="9" style="159"/>
    <col min="8705" max="8705" width="16.25" style="159" customWidth="1"/>
    <col min="8706" max="8707" width="12.5" style="159" customWidth="1"/>
    <col min="8708" max="8708" width="11" style="159" customWidth="1"/>
    <col min="8709" max="8709" width="9.875" style="159" customWidth="1"/>
    <col min="8710" max="8710" width="11.75" style="159" customWidth="1"/>
    <col min="8711" max="8717" width="11" style="159" customWidth="1"/>
    <col min="8718" max="8718" width="25.75" style="159" customWidth="1"/>
    <col min="8719" max="8719" width="9" style="159"/>
    <col min="8720" max="8720" width="9.125" style="159" customWidth="1"/>
    <col min="8721" max="8960" width="9" style="159"/>
    <col min="8961" max="8961" width="16.25" style="159" customWidth="1"/>
    <col min="8962" max="8963" width="12.5" style="159" customWidth="1"/>
    <col min="8964" max="8964" width="11" style="159" customWidth="1"/>
    <col min="8965" max="8965" width="9.875" style="159" customWidth="1"/>
    <col min="8966" max="8966" width="11.75" style="159" customWidth="1"/>
    <col min="8967" max="8973" width="11" style="159" customWidth="1"/>
    <col min="8974" max="8974" width="25.75" style="159" customWidth="1"/>
    <col min="8975" max="8975" width="9" style="159"/>
    <col min="8976" max="8976" width="9.125" style="159" customWidth="1"/>
    <col min="8977" max="9216" width="9" style="159"/>
    <col min="9217" max="9217" width="16.25" style="159" customWidth="1"/>
    <col min="9218" max="9219" width="12.5" style="159" customWidth="1"/>
    <col min="9220" max="9220" width="11" style="159" customWidth="1"/>
    <col min="9221" max="9221" width="9.875" style="159" customWidth="1"/>
    <col min="9222" max="9222" width="11.75" style="159" customWidth="1"/>
    <col min="9223" max="9229" width="11" style="159" customWidth="1"/>
    <col min="9230" max="9230" width="25.75" style="159" customWidth="1"/>
    <col min="9231" max="9231" width="9" style="159"/>
    <col min="9232" max="9232" width="9.125" style="159" customWidth="1"/>
    <col min="9233" max="9472" width="9" style="159"/>
    <col min="9473" max="9473" width="16.25" style="159" customWidth="1"/>
    <col min="9474" max="9475" width="12.5" style="159" customWidth="1"/>
    <col min="9476" max="9476" width="11" style="159" customWidth="1"/>
    <col min="9477" max="9477" width="9.875" style="159" customWidth="1"/>
    <col min="9478" max="9478" width="11.75" style="159" customWidth="1"/>
    <col min="9479" max="9485" width="11" style="159" customWidth="1"/>
    <col min="9486" max="9486" width="25.75" style="159" customWidth="1"/>
    <col min="9487" max="9487" width="9" style="159"/>
    <col min="9488" max="9488" width="9.125" style="159" customWidth="1"/>
    <col min="9489" max="9728" width="9" style="159"/>
    <col min="9729" max="9729" width="16.25" style="159" customWidth="1"/>
    <col min="9730" max="9731" width="12.5" style="159" customWidth="1"/>
    <col min="9732" max="9732" width="11" style="159" customWidth="1"/>
    <col min="9733" max="9733" width="9.875" style="159" customWidth="1"/>
    <col min="9734" max="9734" width="11.75" style="159" customWidth="1"/>
    <col min="9735" max="9741" width="11" style="159" customWidth="1"/>
    <col min="9742" max="9742" width="25.75" style="159" customWidth="1"/>
    <col min="9743" max="9743" width="9" style="159"/>
    <col min="9744" max="9744" width="9.125" style="159" customWidth="1"/>
    <col min="9745" max="9984" width="9" style="159"/>
    <col min="9985" max="9985" width="16.25" style="159" customWidth="1"/>
    <col min="9986" max="9987" width="12.5" style="159" customWidth="1"/>
    <col min="9988" max="9988" width="11" style="159" customWidth="1"/>
    <col min="9989" max="9989" width="9.875" style="159" customWidth="1"/>
    <col min="9990" max="9990" width="11.75" style="159" customWidth="1"/>
    <col min="9991" max="9997" width="11" style="159" customWidth="1"/>
    <col min="9998" max="9998" width="25.75" style="159" customWidth="1"/>
    <col min="9999" max="9999" width="9" style="159"/>
    <col min="10000" max="10000" width="9.125" style="159" customWidth="1"/>
    <col min="10001" max="10240" width="9" style="159"/>
    <col min="10241" max="10241" width="16.25" style="159" customWidth="1"/>
    <col min="10242" max="10243" width="12.5" style="159" customWidth="1"/>
    <col min="10244" max="10244" width="11" style="159" customWidth="1"/>
    <col min="10245" max="10245" width="9.875" style="159" customWidth="1"/>
    <col min="10246" max="10246" width="11.75" style="159" customWidth="1"/>
    <col min="10247" max="10253" width="11" style="159" customWidth="1"/>
    <col min="10254" max="10254" width="25.75" style="159" customWidth="1"/>
    <col min="10255" max="10255" width="9" style="159"/>
    <col min="10256" max="10256" width="9.125" style="159" customWidth="1"/>
    <col min="10257" max="10496" width="9" style="159"/>
    <col min="10497" max="10497" width="16.25" style="159" customWidth="1"/>
    <col min="10498" max="10499" width="12.5" style="159" customWidth="1"/>
    <col min="10500" max="10500" width="11" style="159" customWidth="1"/>
    <col min="10501" max="10501" width="9.875" style="159" customWidth="1"/>
    <col min="10502" max="10502" width="11.75" style="159" customWidth="1"/>
    <col min="10503" max="10509" width="11" style="159" customWidth="1"/>
    <col min="10510" max="10510" width="25.75" style="159" customWidth="1"/>
    <col min="10511" max="10511" width="9" style="159"/>
    <col min="10512" max="10512" width="9.125" style="159" customWidth="1"/>
    <col min="10513" max="10752" width="9" style="159"/>
    <col min="10753" max="10753" width="16.25" style="159" customWidth="1"/>
    <col min="10754" max="10755" width="12.5" style="159" customWidth="1"/>
    <col min="10756" max="10756" width="11" style="159" customWidth="1"/>
    <col min="10757" max="10757" width="9.875" style="159" customWidth="1"/>
    <col min="10758" max="10758" width="11.75" style="159" customWidth="1"/>
    <col min="10759" max="10765" width="11" style="159" customWidth="1"/>
    <col min="10766" max="10766" width="25.75" style="159" customWidth="1"/>
    <col min="10767" max="10767" width="9" style="159"/>
    <col min="10768" max="10768" width="9.125" style="159" customWidth="1"/>
    <col min="10769" max="11008" width="9" style="159"/>
    <col min="11009" max="11009" width="16.25" style="159" customWidth="1"/>
    <col min="11010" max="11011" width="12.5" style="159" customWidth="1"/>
    <col min="11012" max="11012" width="11" style="159" customWidth="1"/>
    <col min="11013" max="11013" width="9.875" style="159" customWidth="1"/>
    <col min="11014" max="11014" width="11.75" style="159" customWidth="1"/>
    <col min="11015" max="11021" width="11" style="159" customWidth="1"/>
    <col min="11022" max="11022" width="25.75" style="159" customWidth="1"/>
    <col min="11023" max="11023" width="9" style="159"/>
    <col min="11024" max="11024" width="9.125" style="159" customWidth="1"/>
    <col min="11025" max="11264" width="9" style="159"/>
    <col min="11265" max="11265" width="16.25" style="159" customWidth="1"/>
    <col min="11266" max="11267" width="12.5" style="159" customWidth="1"/>
    <col min="11268" max="11268" width="11" style="159" customWidth="1"/>
    <col min="11269" max="11269" width="9.875" style="159" customWidth="1"/>
    <col min="11270" max="11270" width="11.75" style="159" customWidth="1"/>
    <col min="11271" max="11277" width="11" style="159" customWidth="1"/>
    <col min="11278" max="11278" width="25.75" style="159" customWidth="1"/>
    <col min="11279" max="11279" width="9" style="159"/>
    <col min="11280" max="11280" width="9.125" style="159" customWidth="1"/>
    <col min="11281" max="11520" width="9" style="159"/>
    <col min="11521" max="11521" width="16.25" style="159" customWidth="1"/>
    <col min="11522" max="11523" width="12.5" style="159" customWidth="1"/>
    <col min="11524" max="11524" width="11" style="159" customWidth="1"/>
    <col min="11525" max="11525" width="9.875" style="159" customWidth="1"/>
    <col min="11526" max="11526" width="11.75" style="159" customWidth="1"/>
    <col min="11527" max="11533" width="11" style="159" customWidth="1"/>
    <col min="11534" max="11534" width="25.75" style="159" customWidth="1"/>
    <col min="11535" max="11535" width="9" style="159"/>
    <col min="11536" max="11536" width="9.125" style="159" customWidth="1"/>
    <col min="11537" max="11776" width="9" style="159"/>
    <col min="11777" max="11777" width="16.25" style="159" customWidth="1"/>
    <col min="11778" max="11779" width="12.5" style="159" customWidth="1"/>
    <col min="11780" max="11780" width="11" style="159" customWidth="1"/>
    <col min="11781" max="11781" width="9.875" style="159" customWidth="1"/>
    <col min="11782" max="11782" width="11.75" style="159" customWidth="1"/>
    <col min="11783" max="11789" width="11" style="159" customWidth="1"/>
    <col min="11790" max="11790" width="25.75" style="159" customWidth="1"/>
    <col min="11791" max="11791" width="9" style="159"/>
    <col min="11792" max="11792" width="9.125" style="159" customWidth="1"/>
    <col min="11793" max="12032" width="9" style="159"/>
    <col min="12033" max="12033" width="16.25" style="159" customWidth="1"/>
    <col min="12034" max="12035" width="12.5" style="159" customWidth="1"/>
    <col min="12036" max="12036" width="11" style="159" customWidth="1"/>
    <col min="12037" max="12037" width="9.875" style="159" customWidth="1"/>
    <col min="12038" max="12038" width="11.75" style="159" customWidth="1"/>
    <col min="12039" max="12045" width="11" style="159" customWidth="1"/>
    <col min="12046" max="12046" width="25.75" style="159" customWidth="1"/>
    <col min="12047" max="12047" width="9" style="159"/>
    <col min="12048" max="12048" width="9.125" style="159" customWidth="1"/>
    <col min="12049" max="12288" width="9" style="159"/>
    <col min="12289" max="12289" width="16.25" style="159" customWidth="1"/>
    <col min="12290" max="12291" width="12.5" style="159" customWidth="1"/>
    <col min="12292" max="12292" width="11" style="159" customWidth="1"/>
    <col min="12293" max="12293" width="9.875" style="159" customWidth="1"/>
    <col min="12294" max="12294" width="11.75" style="159" customWidth="1"/>
    <col min="12295" max="12301" width="11" style="159" customWidth="1"/>
    <col min="12302" max="12302" width="25.75" style="159" customWidth="1"/>
    <col min="12303" max="12303" width="9" style="159"/>
    <col min="12304" max="12304" width="9.125" style="159" customWidth="1"/>
    <col min="12305" max="12544" width="9" style="159"/>
    <col min="12545" max="12545" width="16.25" style="159" customWidth="1"/>
    <col min="12546" max="12547" width="12.5" style="159" customWidth="1"/>
    <col min="12548" max="12548" width="11" style="159" customWidth="1"/>
    <col min="12549" max="12549" width="9.875" style="159" customWidth="1"/>
    <col min="12550" max="12550" width="11.75" style="159" customWidth="1"/>
    <col min="12551" max="12557" width="11" style="159" customWidth="1"/>
    <col min="12558" max="12558" width="25.75" style="159" customWidth="1"/>
    <col min="12559" max="12559" width="9" style="159"/>
    <col min="12560" max="12560" width="9.125" style="159" customWidth="1"/>
    <col min="12561" max="12800" width="9" style="159"/>
    <col min="12801" max="12801" width="16.25" style="159" customWidth="1"/>
    <col min="12802" max="12803" width="12.5" style="159" customWidth="1"/>
    <col min="12804" max="12804" width="11" style="159" customWidth="1"/>
    <col min="12805" max="12805" width="9.875" style="159" customWidth="1"/>
    <col min="12806" max="12806" width="11.75" style="159" customWidth="1"/>
    <col min="12807" max="12813" width="11" style="159" customWidth="1"/>
    <col min="12814" max="12814" width="25.75" style="159" customWidth="1"/>
    <col min="12815" max="12815" width="9" style="159"/>
    <col min="12816" max="12816" width="9.125" style="159" customWidth="1"/>
    <col min="12817" max="13056" width="9" style="159"/>
    <col min="13057" max="13057" width="16.25" style="159" customWidth="1"/>
    <col min="13058" max="13059" width="12.5" style="159" customWidth="1"/>
    <col min="13060" max="13060" width="11" style="159" customWidth="1"/>
    <col min="13061" max="13061" width="9.875" style="159" customWidth="1"/>
    <col min="13062" max="13062" width="11.75" style="159" customWidth="1"/>
    <col min="13063" max="13069" width="11" style="159" customWidth="1"/>
    <col min="13070" max="13070" width="25.75" style="159" customWidth="1"/>
    <col min="13071" max="13071" width="9" style="159"/>
    <col min="13072" max="13072" width="9.125" style="159" customWidth="1"/>
    <col min="13073" max="13312" width="9" style="159"/>
    <col min="13313" max="13313" width="16.25" style="159" customWidth="1"/>
    <col min="13314" max="13315" width="12.5" style="159" customWidth="1"/>
    <col min="13316" max="13316" width="11" style="159" customWidth="1"/>
    <col min="13317" max="13317" width="9.875" style="159" customWidth="1"/>
    <col min="13318" max="13318" width="11.75" style="159" customWidth="1"/>
    <col min="13319" max="13325" width="11" style="159" customWidth="1"/>
    <col min="13326" max="13326" width="25.75" style="159" customWidth="1"/>
    <col min="13327" max="13327" width="9" style="159"/>
    <col min="13328" max="13328" width="9.125" style="159" customWidth="1"/>
    <col min="13329" max="13568" width="9" style="159"/>
    <col min="13569" max="13569" width="16.25" style="159" customWidth="1"/>
    <col min="13570" max="13571" width="12.5" style="159" customWidth="1"/>
    <col min="13572" max="13572" width="11" style="159" customWidth="1"/>
    <col min="13573" max="13573" width="9.875" style="159" customWidth="1"/>
    <col min="13574" max="13574" width="11.75" style="159" customWidth="1"/>
    <col min="13575" max="13581" width="11" style="159" customWidth="1"/>
    <col min="13582" max="13582" width="25.75" style="159" customWidth="1"/>
    <col min="13583" max="13583" width="9" style="159"/>
    <col min="13584" max="13584" width="9.125" style="159" customWidth="1"/>
    <col min="13585" max="13824" width="9" style="159"/>
    <col min="13825" max="13825" width="16.25" style="159" customWidth="1"/>
    <col min="13826" max="13827" width="12.5" style="159" customWidth="1"/>
    <col min="13828" max="13828" width="11" style="159" customWidth="1"/>
    <col min="13829" max="13829" width="9.875" style="159" customWidth="1"/>
    <col min="13830" max="13830" width="11.75" style="159" customWidth="1"/>
    <col min="13831" max="13837" width="11" style="159" customWidth="1"/>
    <col min="13838" max="13838" width="25.75" style="159" customWidth="1"/>
    <col min="13839" max="13839" width="9" style="159"/>
    <col min="13840" max="13840" width="9.125" style="159" customWidth="1"/>
    <col min="13841" max="14080" width="9" style="159"/>
    <col min="14081" max="14081" width="16.25" style="159" customWidth="1"/>
    <col min="14082" max="14083" width="12.5" style="159" customWidth="1"/>
    <col min="14084" max="14084" width="11" style="159" customWidth="1"/>
    <col min="14085" max="14085" width="9.875" style="159" customWidth="1"/>
    <col min="14086" max="14086" width="11.75" style="159" customWidth="1"/>
    <col min="14087" max="14093" width="11" style="159" customWidth="1"/>
    <col min="14094" max="14094" width="25.75" style="159" customWidth="1"/>
    <col min="14095" max="14095" width="9" style="159"/>
    <col min="14096" max="14096" width="9.125" style="159" customWidth="1"/>
    <col min="14097" max="14336" width="9" style="159"/>
    <col min="14337" max="14337" width="16.25" style="159" customWidth="1"/>
    <col min="14338" max="14339" width="12.5" style="159" customWidth="1"/>
    <col min="14340" max="14340" width="11" style="159" customWidth="1"/>
    <col min="14341" max="14341" width="9.875" style="159" customWidth="1"/>
    <col min="14342" max="14342" width="11.75" style="159" customWidth="1"/>
    <col min="14343" max="14349" width="11" style="159" customWidth="1"/>
    <col min="14350" max="14350" width="25.75" style="159" customWidth="1"/>
    <col min="14351" max="14351" width="9" style="159"/>
    <col min="14352" max="14352" width="9.125" style="159" customWidth="1"/>
    <col min="14353" max="14592" width="9" style="159"/>
    <col min="14593" max="14593" width="16.25" style="159" customWidth="1"/>
    <col min="14594" max="14595" width="12.5" style="159" customWidth="1"/>
    <col min="14596" max="14596" width="11" style="159" customWidth="1"/>
    <col min="14597" max="14597" width="9.875" style="159" customWidth="1"/>
    <col min="14598" max="14598" width="11.75" style="159" customWidth="1"/>
    <col min="14599" max="14605" width="11" style="159" customWidth="1"/>
    <col min="14606" max="14606" width="25.75" style="159" customWidth="1"/>
    <col min="14607" max="14607" width="9" style="159"/>
    <col min="14608" max="14608" width="9.125" style="159" customWidth="1"/>
    <col min="14609" max="14848" width="9" style="159"/>
    <col min="14849" max="14849" width="16.25" style="159" customWidth="1"/>
    <col min="14850" max="14851" width="12.5" style="159" customWidth="1"/>
    <col min="14852" max="14852" width="11" style="159" customWidth="1"/>
    <col min="14853" max="14853" width="9.875" style="159" customWidth="1"/>
    <col min="14854" max="14854" width="11.75" style="159" customWidth="1"/>
    <col min="14855" max="14861" width="11" style="159" customWidth="1"/>
    <col min="14862" max="14862" width="25.75" style="159" customWidth="1"/>
    <col min="14863" max="14863" width="9" style="159"/>
    <col min="14864" max="14864" width="9.125" style="159" customWidth="1"/>
    <col min="14865" max="15104" width="9" style="159"/>
    <col min="15105" max="15105" width="16.25" style="159" customWidth="1"/>
    <col min="15106" max="15107" width="12.5" style="159" customWidth="1"/>
    <col min="15108" max="15108" width="11" style="159" customWidth="1"/>
    <col min="15109" max="15109" width="9.875" style="159" customWidth="1"/>
    <col min="15110" max="15110" width="11.75" style="159" customWidth="1"/>
    <col min="15111" max="15117" width="11" style="159" customWidth="1"/>
    <col min="15118" max="15118" width="25.75" style="159" customWidth="1"/>
    <col min="15119" max="15119" width="9" style="159"/>
    <col min="15120" max="15120" width="9.125" style="159" customWidth="1"/>
    <col min="15121" max="15360" width="9" style="159"/>
    <col min="15361" max="15361" width="16.25" style="159" customWidth="1"/>
    <col min="15362" max="15363" width="12.5" style="159" customWidth="1"/>
    <col min="15364" max="15364" width="11" style="159" customWidth="1"/>
    <col min="15365" max="15365" width="9.875" style="159" customWidth="1"/>
    <col min="15366" max="15366" width="11.75" style="159" customWidth="1"/>
    <col min="15367" max="15373" width="11" style="159" customWidth="1"/>
    <col min="15374" max="15374" width="25.75" style="159" customWidth="1"/>
    <col min="15375" max="15375" width="9" style="159"/>
    <col min="15376" max="15376" width="9.125" style="159" customWidth="1"/>
    <col min="15377" max="15616" width="9" style="159"/>
    <col min="15617" max="15617" width="16.25" style="159" customWidth="1"/>
    <col min="15618" max="15619" width="12.5" style="159" customWidth="1"/>
    <col min="15620" max="15620" width="11" style="159" customWidth="1"/>
    <col min="15621" max="15621" width="9.875" style="159" customWidth="1"/>
    <col min="15622" max="15622" width="11.75" style="159" customWidth="1"/>
    <col min="15623" max="15629" width="11" style="159" customWidth="1"/>
    <col min="15630" max="15630" width="25.75" style="159" customWidth="1"/>
    <col min="15631" max="15631" width="9" style="159"/>
    <col min="15632" max="15632" width="9.125" style="159" customWidth="1"/>
    <col min="15633" max="15872" width="9" style="159"/>
    <col min="15873" max="15873" width="16.25" style="159" customWidth="1"/>
    <col min="15874" max="15875" width="12.5" style="159" customWidth="1"/>
    <col min="15876" max="15876" width="11" style="159" customWidth="1"/>
    <col min="15877" max="15877" width="9.875" style="159" customWidth="1"/>
    <col min="15878" max="15878" width="11.75" style="159" customWidth="1"/>
    <col min="15879" max="15885" width="11" style="159" customWidth="1"/>
    <col min="15886" max="15886" width="25.75" style="159" customWidth="1"/>
    <col min="15887" max="15887" width="9" style="159"/>
    <col min="15888" max="15888" width="9.125" style="159" customWidth="1"/>
    <col min="15889" max="16128" width="9" style="159"/>
    <col min="16129" max="16129" width="16.25" style="159" customWidth="1"/>
    <col min="16130" max="16131" width="12.5" style="159" customWidth="1"/>
    <col min="16132" max="16132" width="11" style="159" customWidth="1"/>
    <col min="16133" max="16133" width="9.875" style="159" customWidth="1"/>
    <col min="16134" max="16134" width="11.75" style="159" customWidth="1"/>
    <col min="16135" max="16141" width="11" style="159" customWidth="1"/>
    <col min="16142" max="16142" width="25.75" style="159" customWidth="1"/>
    <col min="16143" max="16143" width="9" style="159"/>
    <col min="16144" max="16144" width="9.125" style="159" customWidth="1"/>
    <col min="16145" max="16384" width="9" style="159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15" t="s">
        <v>64</v>
      </c>
    </row>
    <row r="3" s="123" customFormat="1" ht="15" customHeight="1" spans="1:15">
      <c r="A3" s="123" t="str">
        <f>'G-高新'!A3</f>
        <v>编制期间：2020年4月</v>
      </c>
      <c r="G3" s="124" t="s">
        <v>361</v>
      </c>
      <c r="H3" s="124"/>
      <c r="I3" s="124"/>
      <c r="N3" s="136"/>
      <c r="O3" s="136"/>
    </row>
    <row r="4" s="15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2353593.58</v>
      </c>
      <c r="D6" s="21">
        <v>2195220.65</v>
      </c>
      <c r="E6" s="21">
        <v>2447153.04</v>
      </c>
      <c r="F6" s="21">
        <v>2273099.21</v>
      </c>
      <c r="G6" s="21"/>
      <c r="H6" s="21"/>
      <c r="I6" s="21"/>
      <c r="J6" s="21"/>
      <c r="K6" s="21"/>
      <c r="L6" s="21"/>
      <c r="M6" s="21"/>
      <c r="N6" s="21"/>
      <c r="O6" s="47">
        <f>SUM(C6:N6)</f>
        <v>9269066.48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21">
        <v>-2264568.34</v>
      </c>
      <c r="D7" s="21">
        <v>-2118676.07</v>
      </c>
      <c r="E7" s="21">
        <v>-2355548.47</v>
      </c>
      <c r="F7" s="21">
        <v>-2239264.46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-8978057.34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21"/>
      <c r="D8" s="21" t="s">
        <v>362</v>
      </c>
      <c r="E8" s="21" t="s">
        <v>225</v>
      </c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21">
        <v>626639.11</v>
      </c>
      <c r="D9" s="21">
        <v>28106.13</v>
      </c>
      <c r="E9" s="21">
        <v>349523.61</v>
      </c>
      <c r="F9" s="21">
        <v>35184.3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1039453.15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21">
        <v>-236248.43</v>
      </c>
      <c r="D10" s="21">
        <v>-222944.24</v>
      </c>
      <c r="E10" s="21">
        <v>-671258.24</v>
      </c>
      <c r="F10" s="21">
        <v>101624.26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-1028826.65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21">
        <v>951966.21</v>
      </c>
      <c r="D11" s="21">
        <v>-514571.59</v>
      </c>
      <c r="E11" s="21">
        <v>202284.05</v>
      </c>
      <c r="F11" s="21">
        <v>125949.15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765627.82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21"/>
      <c r="D12" s="21" t="s">
        <v>362</v>
      </c>
      <c r="E12" s="21"/>
      <c r="F12" s="21">
        <v>10000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10000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1431382.13</v>
      </c>
      <c r="D13" s="58">
        <f t="shared" ref="D13:N13" si="1">SUM(D6:D12)</f>
        <v>-632865.12</v>
      </c>
      <c r="E13" s="58">
        <f t="shared" si="1"/>
        <v>-27846.0100000002</v>
      </c>
      <c r="F13" s="58">
        <f t="shared" si="1"/>
        <v>306592.46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1077263.46</v>
      </c>
      <c r="P13" s="156"/>
      <c r="Q13" s="156"/>
      <c r="R13" s="156"/>
      <c r="S13" s="156"/>
      <c r="T13" s="156"/>
      <c r="U13" s="156"/>
      <c r="V13" s="156"/>
    </row>
    <row r="14" spans="4:22">
      <c r="D14" s="154"/>
      <c r="E14" s="154"/>
      <c r="F14" s="154"/>
      <c r="G14" s="160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spans="1:22">
      <c r="A15" s="132" t="s">
        <v>363</v>
      </c>
      <c r="B15" s="132"/>
      <c r="C15" s="132">
        <v>1431382.13</v>
      </c>
      <c r="D15" s="161">
        <v>-632865.12</v>
      </c>
      <c r="E15" s="161"/>
      <c r="F15" s="161"/>
      <c r="G15" s="160"/>
      <c r="H15" s="154"/>
      <c r="I15" s="161"/>
      <c r="J15" s="161"/>
      <c r="K15" s="161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/>
      <c r="E16" s="154"/>
      <c r="F16" s="154"/>
      <c r="G16" s="160"/>
      <c r="H16" s="154"/>
      <c r="I16" s="154"/>
      <c r="J16" s="154"/>
      <c r="K16" s="154"/>
      <c r="L16" s="154"/>
      <c r="M16" s="154"/>
      <c r="N16" s="154" t="e">
        <f>N13+'C-上海吉慕特'!N13+'C-九江吉慕特'!N13+'C-浙江艾德'!N13+'C-宜春天赐'!N13+'C-张家港吉慕特'!N13+'C-创新中心'!N13+'C-九江'!N13+#REF!+'C-有机硅'!N13+'C-天津'!N13+'C-中科'!N13+'C-美思'!N13+'C-宁德'!N13+'C-香港'!N13+#REF!+'C-天祺'!N13</f>
        <v>#REF!</v>
      </c>
      <c r="O16" s="154">
        <f>O15-O13</f>
        <v>-1077263.46</v>
      </c>
      <c r="P16" s="154"/>
      <c r="Q16" s="154"/>
      <c r="R16" s="154"/>
      <c r="S16" s="154"/>
      <c r="T16" s="154"/>
      <c r="U16" s="154"/>
      <c r="V16" s="154"/>
    </row>
    <row r="17" s="158" customFormat="1" spans="4:22">
      <c r="D17" s="134"/>
      <c r="E17" s="134"/>
      <c r="F17" s="134"/>
      <c r="G17" s="134"/>
      <c r="H17" s="134"/>
      <c r="I17" s="134"/>
      <c r="J17" s="134"/>
      <c r="K17" s="134" t="e">
        <f>K13+'C-上海吉慕特'!K13+'C-张家港吉慕特'!K13+'C-九江'!K13+'C-有机硅'!K13+'C-天津'!K13+'C-中科'!K13+'C-宁德'!K13+'C-香港'!K13+#REF!+'C-天祺'!K13</f>
        <v>#REF!</v>
      </c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</row>
    <row r="18" spans="4:22">
      <c r="D18" s="154"/>
      <c r="E18" s="154"/>
      <c r="F18" s="154"/>
      <c r="G18" s="160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</row>
    <row r="19" spans="7:11">
      <c r="G19" s="162"/>
      <c r="K19" s="159">
        <f>I6+J6+K6</f>
        <v>0</v>
      </c>
    </row>
    <row r="20" spans="7:11">
      <c r="G20" s="162"/>
      <c r="K20" s="159">
        <f>I7+J7+K7</f>
        <v>0</v>
      </c>
    </row>
    <row r="21" spans="7:7">
      <c r="G21" s="162"/>
    </row>
    <row r="22" spans="7:7">
      <c r="G22" s="162"/>
    </row>
    <row r="23" spans="7:7">
      <c r="G23" s="162"/>
    </row>
    <row r="24" spans="7:7">
      <c r="G24" s="162"/>
    </row>
    <row r="25" spans="7:7">
      <c r="G25" s="162"/>
    </row>
    <row r="26" spans="7:7">
      <c r="G26" s="162"/>
    </row>
    <row r="27" spans="7:7">
      <c r="G27" s="162"/>
    </row>
    <row r="28" spans="7:7">
      <c r="G28" s="162"/>
    </row>
    <row r="29" spans="7:7">
      <c r="G29" s="162"/>
    </row>
    <row r="30" spans="7:7">
      <c r="G30" s="162"/>
    </row>
    <row r="31" spans="7:7">
      <c r="G31" s="162"/>
    </row>
    <row r="32" spans="7:7">
      <c r="G32" s="162"/>
    </row>
    <row r="33" spans="7:7">
      <c r="G33" s="162"/>
    </row>
    <row r="34" spans="7:7">
      <c r="G34" s="162"/>
    </row>
    <row r="35" spans="7:7">
      <c r="G35" s="162"/>
    </row>
    <row r="36" spans="7:7">
      <c r="G36" s="162"/>
    </row>
    <row r="37" spans="7:7">
      <c r="G37" s="162"/>
    </row>
    <row r="38" spans="7:7">
      <c r="G38" s="162"/>
    </row>
    <row r="39" spans="7:7">
      <c r="G39" s="162"/>
    </row>
    <row r="40" spans="7:7">
      <c r="G40" s="162"/>
    </row>
    <row r="41" spans="7:7">
      <c r="G41" s="162"/>
    </row>
    <row r="42" spans="7:7">
      <c r="G42" s="162"/>
    </row>
    <row r="43" spans="7:7">
      <c r="G43" s="162"/>
    </row>
    <row r="44" spans="7:7">
      <c r="G44" s="162"/>
    </row>
    <row r="45" spans="7:7">
      <c r="G45" s="162"/>
    </row>
    <row r="46" spans="7:7">
      <c r="G46" s="162"/>
    </row>
    <row r="47" spans="7:7">
      <c r="G47" s="162"/>
    </row>
    <row r="48" spans="7:7">
      <c r="G48" s="162"/>
    </row>
    <row r="49" spans="7:7">
      <c r="G49" s="162"/>
    </row>
    <row r="50" spans="7:7">
      <c r="G50" s="162"/>
    </row>
    <row r="51" spans="7:7">
      <c r="G51" s="162"/>
    </row>
    <row r="52" spans="7:7">
      <c r="G52" s="162"/>
    </row>
    <row r="53" spans="7:7">
      <c r="G53" s="162"/>
    </row>
    <row r="54" spans="7:7">
      <c r="G54" s="162"/>
    </row>
    <row r="55" spans="7:7">
      <c r="G55" s="162"/>
    </row>
    <row r="56" spans="7:7">
      <c r="G56" s="162"/>
    </row>
    <row r="57" spans="7:7">
      <c r="G57" s="162"/>
    </row>
    <row r="58" spans="7:7">
      <c r="G58" s="162"/>
    </row>
    <row r="59" spans="7:7">
      <c r="G59" s="162"/>
    </row>
    <row r="60" spans="7:7">
      <c r="G60" s="162"/>
    </row>
    <row r="61" spans="7:7">
      <c r="G61" s="162"/>
    </row>
    <row r="62" spans="7:7">
      <c r="G62" s="162"/>
    </row>
    <row r="63" spans="7:7">
      <c r="G63" s="162"/>
    </row>
    <row r="64" spans="7:7">
      <c r="G64" s="162"/>
    </row>
    <row r="65" spans="7:7">
      <c r="G65" s="162"/>
    </row>
    <row r="66" spans="7:7">
      <c r="G66" s="162"/>
    </row>
    <row r="67" spans="7:7">
      <c r="G67" s="162"/>
    </row>
    <row r="68" spans="7:7">
      <c r="G68" s="162"/>
    </row>
    <row r="69" spans="7:7">
      <c r="G69" s="162"/>
    </row>
    <row r="70" spans="7:7">
      <c r="G70" s="162"/>
    </row>
    <row r="71" spans="7:7">
      <c r="G71" s="162"/>
    </row>
    <row r="72" spans="7:7">
      <c r="G72" s="162"/>
    </row>
    <row r="73" spans="7:7">
      <c r="G73" s="162"/>
    </row>
    <row r="74" spans="7:7">
      <c r="G74" s="162"/>
    </row>
    <row r="75" spans="7:7">
      <c r="G75" s="162"/>
    </row>
    <row r="76" spans="7:7">
      <c r="G76" s="162"/>
    </row>
    <row r="77" spans="7:7">
      <c r="G77" s="162"/>
    </row>
    <row r="78" spans="7:7">
      <c r="G78" s="162"/>
    </row>
    <row r="79" spans="7:7">
      <c r="G79" s="162"/>
    </row>
    <row r="80" spans="7:7">
      <c r="G80" s="162"/>
    </row>
    <row r="81" spans="7:7">
      <c r="G81" s="162"/>
    </row>
    <row r="82" spans="7:7">
      <c r="G82" s="162"/>
    </row>
    <row r="83" spans="7:7">
      <c r="G83" s="162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A15:IV15 O14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83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F22" sqref="F22"/>
    </sheetView>
  </sheetViews>
  <sheetFormatPr defaultColWidth="9" defaultRowHeight="12.75"/>
  <cols>
    <col min="1" max="1" width="16.25" style="159" customWidth="1"/>
    <col min="2" max="2" width="12.5" style="159" customWidth="1"/>
    <col min="3" max="14" width="14.25" style="159" customWidth="1"/>
    <col min="15" max="15" width="18.375" style="159" customWidth="1"/>
    <col min="16" max="16" width="9.125" style="159" customWidth="1"/>
    <col min="17" max="256" width="9" style="159"/>
    <col min="257" max="257" width="16.25" style="159" customWidth="1"/>
    <col min="258" max="259" width="12.5" style="159" customWidth="1"/>
    <col min="260" max="260" width="11" style="159" customWidth="1"/>
    <col min="261" max="261" width="9.875" style="159" customWidth="1"/>
    <col min="262" max="262" width="11.75" style="159" customWidth="1"/>
    <col min="263" max="269" width="11" style="159" customWidth="1"/>
    <col min="270" max="270" width="25.75" style="159" customWidth="1"/>
    <col min="271" max="271" width="9" style="159"/>
    <col min="272" max="272" width="9.125" style="159" customWidth="1"/>
    <col min="273" max="512" width="9" style="159"/>
    <col min="513" max="513" width="16.25" style="159" customWidth="1"/>
    <col min="514" max="515" width="12.5" style="159" customWidth="1"/>
    <col min="516" max="516" width="11" style="159" customWidth="1"/>
    <col min="517" max="517" width="9.875" style="159" customWidth="1"/>
    <col min="518" max="518" width="11.75" style="159" customWidth="1"/>
    <col min="519" max="525" width="11" style="159" customWidth="1"/>
    <col min="526" max="526" width="25.75" style="159" customWidth="1"/>
    <col min="527" max="527" width="9" style="159"/>
    <col min="528" max="528" width="9.125" style="159" customWidth="1"/>
    <col min="529" max="768" width="9" style="159"/>
    <col min="769" max="769" width="16.25" style="159" customWidth="1"/>
    <col min="770" max="771" width="12.5" style="159" customWidth="1"/>
    <col min="772" max="772" width="11" style="159" customWidth="1"/>
    <col min="773" max="773" width="9.875" style="159" customWidth="1"/>
    <col min="774" max="774" width="11.75" style="159" customWidth="1"/>
    <col min="775" max="781" width="11" style="159" customWidth="1"/>
    <col min="782" max="782" width="25.75" style="159" customWidth="1"/>
    <col min="783" max="783" width="9" style="159"/>
    <col min="784" max="784" width="9.125" style="159" customWidth="1"/>
    <col min="785" max="1024" width="9" style="159"/>
    <col min="1025" max="1025" width="16.25" style="159" customWidth="1"/>
    <col min="1026" max="1027" width="12.5" style="159" customWidth="1"/>
    <col min="1028" max="1028" width="11" style="159" customWidth="1"/>
    <col min="1029" max="1029" width="9.875" style="159" customWidth="1"/>
    <col min="1030" max="1030" width="11.75" style="159" customWidth="1"/>
    <col min="1031" max="1037" width="11" style="159" customWidth="1"/>
    <col min="1038" max="1038" width="25.75" style="159" customWidth="1"/>
    <col min="1039" max="1039" width="9" style="159"/>
    <col min="1040" max="1040" width="9.125" style="159" customWidth="1"/>
    <col min="1041" max="1280" width="9" style="159"/>
    <col min="1281" max="1281" width="16.25" style="159" customWidth="1"/>
    <col min="1282" max="1283" width="12.5" style="159" customWidth="1"/>
    <col min="1284" max="1284" width="11" style="159" customWidth="1"/>
    <col min="1285" max="1285" width="9.875" style="159" customWidth="1"/>
    <col min="1286" max="1286" width="11.75" style="159" customWidth="1"/>
    <col min="1287" max="1293" width="11" style="159" customWidth="1"/>
    <col min="1294" max="1294" width="25.75" style="159" customWidth="1"/>
    <col min="1295" max="1295" width="9" style="159"/>
    <col min="1296" max="1296" width="9.125" style="159" customWidth="1"/>
    <col min="1297" max="1536" width="9" style="159"/>
    <col min="1537" max="1537" width="16.25" style="159" customWidth="1"/>
    <col min="1538" max="1539" width="12.5" style="159" customWidth="1"/>
    <col min="1540" max="1540" width="11" style="159" customWidth="1"/>
    <col min="1541" max="1541" width="9.875" style="159" customWidth="1"/>
    <col min="1542" max="1542" width="11.75" style="159" customWidth="1"/>
    <col min="1543" max="1549" width="11" style="159" customWidth="1"/>
    <col min="1550" max="1550" width="25.75" style="159" customWidth="1"/>
    <col min="1551" max="1551" width="9" style="159"/>
    <col min="1552" max="1552" width="9.125" style="159" customWidth="1"/>
    <col min="1553" max="1792" width="9" style="159"/>
    <col min="1793" max="1793" width="16.25" style="159" customWidth="1"/>
    <col min="1794" max="1795" width="12.5" style="159" customWidth="1"/>
    <col min="1796" max="1796" width="11" style="159" customWidth="1"/>
    <col min="1797" max="1797" width="9.875" style="159" customWidth="1"/>
    <col min="1798" max="1798" width="11.75" style="159" customWidth="1"/>
    <col min="1799" max="1805" width="11" style="159" customWidth="1"/>
    <col min="1806" max="1806" width="25.75" style="159" customWidth="1"/>
    <col min="1807" max="1807" width="9" style="159"/>
    <col min="1808" max="1808" width="9.125" style="159" customWidth="1"/>
    <col min="1809" max="2048" width="9" style="159"/>
    <col min="2049" max="2049" width="16.25" style="159" customWidth="1"/>
    <col min="2050" max="2051" width="12.5" style="159" customWidth="1"/>
    <col min="2052" max="2052" width="11" style="159" customWidth="1"/>
    <col min="2053" max="2053" width="9.875" style="159" customWidth="1"/>
    <col min="2054" max="2054" width="11.75" style="159" customWidth="1"/>
    <col min="2055" max="2061" width="11" style="159" customWidth="1"/>
    <col min="2062" max="2062" width="25.75" style="159" customWidth="1"/>
    <col min="2063" max="2063" width="9" style="159"/>
    <col min="2064" max="2064" width="9.125" style="159" customWidth="1"/>
    <col min="2065" max="2304" width="9" style="159"/>
    <col min="2305" max="2305" width="16.25" style="159" customWidth="1"/>
    <col min="2306" max="2307" width="12.5" style="159" customWidth="1"/>
    <col min="2308" max="2308" width="11" style="159" customWidth="1"/>
    <col min="2309" max="2309" width="9.875" style="159" customWidth="1"/>
    <col min="2310" max="2310" width="11.75" style="159" customWidth="1"/>
    <col min="2311" max="2317" width="11" style="159" customWidth="1"/>
    <col min="2318" max="2318" width="25.75" style="159" customWidth="1"/>
    <col min="2319" max="2319" width="9" style="159"/>
    <col min="2320" max="2320" width="9.125" style="159" customWidth="1"/>
    <col min="2321" max="2560" width="9" style="159"/>
    <col min="2561" max="2561" width="16.25" style="159" customWidth="1"/>
    <col min="2562" max="2563" width="12.5" style="159" customWidth="1"/>
    <col min="2564" max="2564" width="11" style="159" customWidth="1"/>
    <col min="2565" max="2565" width="9.875" style="159" customWidth="1"/>
    <col min="2566" max="2566" width="11.75" style="159" customWidth="1"/>
    <col min="2567" max="2573" width="11" style="159" customWidth="1"/>
    <col min="2574" max="2574" width="25.75" style="159" customWidth="1"/>
    <col min="2575" max="2575" width="9" style="159"/>
    <col min="2576" max="2576" width="9.125" style="159" customWidth="1"/>
    <col min="2577" max="2816" width="9" style="159"/>
    <col min="2817" max="2817" width="16.25" style="159" customWidth="1"/>
    <col min="2818" max="2819" width="12.5" style="159" customWidth="1"/>
    <col min="2820" max="2820" width="11" style="159" customWidth="1"/>
    <col min="2821" max="2821" width="9.875" style="159" customWidth="1"/>
    <col min="2822" max="2822" width="11.75" style="159" customWidth="1"/>
    <col min="2823" max="2829" width="11" style="159" customWidth="1"/>
    <col min="2830" max="2830" width="25.75" style="159" customWidth="1"/>
    <col min="2831" max="2831" width="9" style="159"/>
    <col min="2832" max="2832" width="9.125" style="159" customWidth="1"/>
    <col min="2833" max="3072" width="9" style="159"/>
    <col min="3073" max="3073" width="16.25" style="159" customWidth="1"/>
    <col min="3074" max="3075" width="12.5" style="159" customWidth="1"/>
    <col min="3076" max="3076" width="11" style="159" customWidth="1"/>
    <col min="3077" max="3077" width="9.875" style="159" customWidth="1"/>
    <col min="3078" max="3078" width="11.75" style="159" customWidth="1"/>
    <col min="3079" max="3085" width="11" style="159" customWidth="1"/>
    <col min="3086" max="3086" width="25.75" style="159" customWidth="1"/>
    <col min="3087" max="3087" width="9" style="159"/>
    <col min="3088" max="3088" width="9.125" style="159" customWidth="1"/>
    <col min="3089" max="3328" width="9" style="159"/>
    <col min="3329" max="3329" width="16.25" style="159" customWidth="1"/>
    <col min="3330" max="3331" width="12.5" style="159" customWidth="1"/>
    <col min="3332" max="3332" width="11" style="159" customWidth="1"/>
    <col min="3333" max="3333" width="9.875" style="159" customWidth="1"/>
    <col min="3334" max="3334" width="11.75" style="159" customWidth="1"/>
    <col min="3335" max="3341" width="11" style="159" customWidth="1"/>
    <col min="3342" max="3342" width="25.75" style="159" customWidth="1"/>
    <col min="3343" max="3343" width="9" style="159"/>
    <col min="3344" max="3344" width="9.125" style="159" customWidth="1"/>
    <col min="3345" max="3584" width="9" style="159"/>
    <col min="3585" max="3585" width="16.25" style="159" customWidth="1"/>
    <col min="3586" max="3587" width="12.5" style="159" customWidth="1"/>
    <col min="3588" max="3588" width="11" style="159" customWidth="1"/>
    <col min="3589" max="3589" width="9.875" style="159" customWidth="1"/>
    <col min="3590" max="3590" width="11.75" style="159" customWidth="1"/>
    <col min="3591" max="3597" width="11" style="159" customWidth="1"/>
    <col min="3598" max="3598" width="25.75" style="159" customWidth="1"/>
    <col min="3599" max="3599" width="9" style="159"/>
    <col min="3600" max="3600" width="9.125" style="159" customWidth="1"/>
    <col min="3601" max="3840" width="9" style="159"/>
    <col min="3841" max="3841" width="16.25" style="159" customWidth="1"/>
    <col min="3842" max="3843" width="12.5" style="159" customWidth="1"/>
    <col min="3844" max="3844" width="11" style="159" customWidth="1"/>
    <col min="3845" max="3845" width="9.875" style="159" customWidth="1"/>
    <col min="3846" max="3846" width="11.75" style="159" customWidth="1"/>
    <col min="3847" max="3853" width="11" style="159" customWidth="1"/>
    <col min="3854" max="3854" width="25.75" style="159" customWidth="1"/>
    <col min="3855" max="3855" width="9" style="159"/>
    <col min="3856" max="3856" width="9.125" style="159" customWidth="1"/>
    <col min="3857" max="4096" width="9" style="159"/>
    <col min="4097" max="4097" width="16.25" style="159" customWidth="1"/>
    <col min="4098" max="4099" width="12.5" style="159" customWidth="1"/>
    <col min="4100" max="4100" width="11" style="159" customWidth="1"/>
    <col min="4101" max="4101" width="9.875" style="159" customWidth="1"/>
    <col min="4102" max="4102" width="11.75" style="159" customWidth="1"/>
    <col min="4103" max="4109" width="11" style="159" customWidth="1"/>
    <col min="4110" max="4110" width="25.75" style="159" customWidth="1"/>
    <col min="4111" max="4111" width="9" style="159"/>
    <col min="4112" max="4112" width="9.125" style="159" customWidth="1"/>
    <col min="4113" max="4352" width="9" style="159"/>
    <col min="4353" max="4353" width="16.25" style="159" customWidth="1"/>
    <col min="4354" max="4355" width="12.5" style="159" customWidth="1"/>
    <col min="4356" max="4356" width="11" style="159" customWidth="1"/>
    <col min="4357" max="4357" width="9.875" style="159" customWidth="1"/>
    <col min="4358" max="4358" width="11.75" style="159" customWidth="1"/>
    <col min="4359" max="4365" width="11" style="159" customWidth="1"/>
    <col min="4366" max="4366" width="25.75" style="159" customWidth="1"/>
    <col min="4367" max="4367" width="9" style="159"/>
    <col min="4368" max="4368" width="9.125" style="159" customWidth="1"/>
    <col min="4369" max="4608" width="9" style="159"/>
    <col min="4609" max="4609" width="16.25" style="159" customWidth="1"/>
    <col min="4610" max="4611" width="12.5" style="159" customWidth="1"/>
    <col min="4612" max="4612" width="11" style="159" customWidth="1"/>
    <col min="4613" max="4613" width="9.875" style="159" customWidth="1"/>
    <col min="4614" max="4614" width="11.75" style="159" customWidth="1"/>
    <col min="4615" max="4621" width="11" style="159" customWidth="1"/>
    <col min="4622" max="4622" width="25.75" style="159" customWidth="1"/>
    <col min="4623" max="4623" width="9" style="159"/>
    <col min="4624" max="4624" width="9.125" style="159" customWidth="1"/>
    <col min="4625" max="4864" width="9" style="159"/>
    <col min="4865" max="4865" width="16.25" style="159" customWidth="1"/>
    <col min="4866" max="4867" width="12.5" style="159" customWidth="1"/>
    <col min="4868" max="4868" width="11" style="159" customWidth="1"/>
    <col min="4869" max="4869" width="9.875" style="159" customWidth="1"/>
    <col min="4870" max="4870" width="11.75" style="159" customWidth="1"/>
    <col min="4871" max="4877" width="11" style="159" customWidth="1"/>
    <col min="4878" max="4878" width="25.75" style="159" customWidth="1"/>
    <col min="4879" max="4879" width="9" style="159"/>
    <col min="4880" max="4880" width="9.125" style="159" customWidth="1"/>
    <col min="4881" max="5120" width="9" style="159"/>
    <col min="5121" max="5121" width="16.25" style="159" customWidth="1"/>
    <col min="5122" max="5123" width="12.5" style="159" customWidth="1"/>
    <col min="5124" max="5124" width="11" style="159" customWidth="1"/>
    <col min="5125" max="5125" width="9.875" style="159" customWidth="1"/>
    <col min="5126" max="5126" width="11.75" style="159" customWidth="1"/>
    <col min="5127" max="5133" width="11" style="159" customWidth="1"/>
    <col min="5134" max="5134" width="25.75" style="159" customWidth="1"/>
    <col min="5135" max="5135" width="9" style="159"/>
    <col min="5136" max="5136" width="9.125" style="159" customWidth="1"/>
    <col min="5137" max="5376" width="9" style="159"/>
    <col min="5377" max="5377" width="16.25" style="159" customWidth="1"/>
    <col min="5378" max="5379" width="12.5" style="159" customWidth="1"/>
    <col min="5380" max="5380" width="11" style="159" customWidth="1"/>
    <col min="5381" max="5381" width="9.875" style="159" customWidth="1"/>
    <col min="5382" max="5382" width="11.75" style="159" customWidth="1"/>
    <col min="5383" max="5389" width="11" style="159" customWidth="1"/>
    <col min="5390" max="5390" width="25.75" style="159" customWidth="1"/>
    <col min="5391" max="5391" width="9" style="159"/>
    <col min="5392" max="5392" width="9.125" style="159" customWidth="1"/>
    <col min="5393" max="5632" width="9" style="159"/>
    <col min="5633" max="5633" width="16.25" style="159" customWidth="1"/>
    <col min="5634" max="5635" width="12.5" style="159" customWidth="1"/>
    <col min="5636" max="5636" width="11" style="159" customWidth="1"/>
    <col min="5637" max="5637" width="9.875" style="159" customWidth="1"/>
    <col min="5638" max="5638" width="11.75" style="159" customWidth="1"/>
    <col min="5639" max="5645" width="11" style="159" customWidth="1"/>
    <col min="5646" max="5646" width="25.75" style="159" customWidth="1"/>
    <col min="5647" max="5647" width="9" style="159"/>
    <col min="5648" max="5648" width="9.125" style="159" customWidth="1"/>
    <col min="5649" max="5888" width="9" style="159"/>
    <col min="5889" max="5889" width="16.25" style="159" customWidth="1"/>
    <col min="5890" max="5891" width="12.5" style="159" customWidth="1"/>
    <col min="5892" max="5892" width="11" style="159" customWidth="1"/>
    <col min="5893" max="5893" width="9.875" style="159" customWidth="1"/>
    <col min="5894" max="5894" width="11.75" style="159" customWidth="1"/>
    <col min="5895" max="5901" width="11" style="159" customWidth="1"/>
    <col min="5902" max="5902" width="25.75" style="159" customWidth="1"/>
    <col min="5903" max="5903" width="9" style="159"/>
    <col min="5904" max="5904" width="9.125" style="159" customWidth="1"/>
    <col min="5905" max="6144" width="9" style="159"/>
    <col min="6145" max="6145" width="16.25" style="159" customWidth="1"/>
    <col min="6146" max="6147" width="12.5" style="159" customWidth="1"/>
    <col min="6148" max="6148" width="11" style="159" customWidth="1"/>
    <col min="6149" max="6149" width="9.875" style="159" customWidth="1"/>
    <col min="6150" max="6150" width="11.75" style="159" customWidth="1"/>
    <col min="6151" max="6157" width="11" style="159" customWidth="1"/>
    <col min="6158" max="6158" width="25.75" style="159" customWidth="1"/>
    <col min="6159" max="6159" width="9" style="159"/>
    <col min="6160" max="6160" width="9.125" style="159" customWidth="1"/>
    <col min="6161" max="6400" width="9" style="159"/>
    <col min="6401" max="6401" width="16.25" style="159" customWidth="1"/>
    <col min="6402" max="6403" width="12.5" style="159" customWidth="1"/>
    <col min="6404" max="6404" width="11" style="159" customWidth="1"/>
    <col min="6405" max="6405" width="9.875" style="159" customWidth="1"/>
    <col min="6406" max="6406" width="11.75" style="159" customWidth="1"/>
    <col min="6407" max="6413" width="11" style="159" customWidth="1"/>
    <col min="6414" max="6414" width="25.75" style="159" customWidth="1"/>
    <col min="6415" max="6415" width="9" style="159"/>
    <col min="6416" max="6416" width="9.125" style="159" customWidth="1"/>
    <col min="6417" max="6656" width="9" style="159"/>
    <col min="6657" max="6657" width="16.25" style="159" customWidth="1"/>
    <col min="6658" max="6659" width="12.5" style="159" customWidth="1"/>
    <col min="6660" max="6660" width="11" style="159" customWidth="1"/>
    <col min="6661" max="6661" width="9.875" style="159" customWidth="1"/>
    <col min="6662" max="6662" width="11.75" style="159" customWidth="1"/>
    <col min="6663" max="6669" width="11" style="159" customWidth="1"/>
    <col min="6670" max="6670" width="25.75" style="159" customWidth="1"/>
    <col min="6671" max="6671" width="9" style="159"/>
    <col min="6672" max="6672" width="9.125" style="159" customWidth="1"/>
    <col min="6673" max="6912" width="9" style="159"/>
    <col min="6913" max="6913" width="16.25" style="159" customWidth="1"/>
    <col min="6914" max="6915" width="12.5" style="159" customWidth="1"/>
    <col min="6916" max="6916" width="11" style="159" customWidth="1"/>
    <col min="6917" max="6917" width="9.875" style="159" customWidth="1"/>
    <col min="6918" max="6918" width="11.75" style="159" customWidth="1"/>
    <col min="6919" max="6925" width="11" style="159" customWidth="1"/>
    <col min="6926" max="6926" width="25.75" style="159" customWidth="1"/>
    <col min="6927" max="6927" width="9" style="159"/>
    <col min="6928" max="6928" width="9.125" style="159" customWidth="1"/>
    <col min="6929" max="7168" width="9" style="159"/>
    <col min="7169" max="7169" width="16.25" style="159" customWidth="1"/>
    <col min="7170" max="7171" width="12.5" style="159" customWidth="1"/>
    <col min="7172" max="7172" width="11" style="159" customWidth="1"/>
    <col min="7173" max="7173" width="9.875" style="159" customWidth="1"/>
    <col min="7174" max="7174" width="11.75" style="159" customWidth="1"/>
    <col min="7175" max="7181" width="11" style="159" customWidth="1"/>
    <col min="7182" max="7182" width="25.75" style="159" customWidth="1"/>
    <col min="7183" max="7183" width="9" style="159"/>
    <col min="7184" max="7184" width="9.125" style="159" customWidth="1"/>
    <col min="7185" max="7424" width="9" style="159"/>
    <col min="7425" max="7425" width="16.25" style="159" customWidth="1"/>
    <col min="7426" max="7427" width="12.5" style="159" customWidth="1"/>
    <col min="7428" max="7428" width="11" style="159" customWidth="1"/>
    <col min="7429" max="7429" width="9.875" style="159" customWidth="1"/>
    <col min="7430" max="7430" width="11.75" style="159" customWidth="1"/>
    <col min="7431" max="7437" width="11" style="159" customWidth="1"/>
    <col min="7438" max="7438" width="25.75" style="159" customWidth="1"/>
    <col min="7439" max="7439" width="9" style="159"/>
    <col min="7440" max="7440" width="9.125" style="159" customWidth="1"/>
    <col min="7441" max="7680" width="9" style="159"/>
    <col min="7681" max="7681" width="16.25" style="159" customWidth="1"/>
    <col min="7682" max="7683" width="12.5" style="159" customWidth="1"/>
    <col min="7684" max="7684" width="11" style="159" customWidth="1"/>
    <col min="7685" max="7685" width="9.875" style="159" customWidth="1"/>
    <col min="7686" max="7686" width="11.75" style="159" customWidth="1"/>
    <col min="7687" max="7693" width="11" style="159" customWidth="1"/>
    <col min="7694" max="7694" width="25.75" style="159" customWidth="1"/>
    <col min="7695" max="7695" width="9" style="159"/>
    <col min="7696" max="7696" width="9.125" style="159" customWidth="1"/>
    <col min="7697" max="7936" width="9" style="159"/>
    <col min="7937" max="7937" width="16.25" style="159" customWidth="1"/>
    <col min="7938" max="7939" width="12.5" style="159" customWidth="1"/>
    <col min="7940" max="7940" width="11" style="159" customWidth="1"/>
    <col min="7941" max="7941" width="9.875" style="159" customWidth="1"/>
    <col min="7942" max="7942" width="11.75" style="159" customWidth="1"/>
    <col min="7943" max="7949" width="11" style="159" customWidth="1"/>
    <col min="7950" max="7950" width="25.75" style="159" customWidth="1"/>
    <col min="7951" max="7951" width="9" style="159"/>
    <col min="7952" max="7952" width="9.125" style="159" customWidth="1"/>
    <col min="7953" max="8192" width="9" style="159"/>
    <col min="8193" max="8193" width="16.25" style="159" customWidth="1"/>
    <col min="8194" max="8195" width="12.5" style="159" customWidth="1"/>
    <col min="8196" max="8196" width="11" style="159" customWidth="1"/>
    <col min="8197" max="8197" width="9.875" style="159" customWidth="1"/>
    <col min="8198" max="8198" width="11.75" style="159" customWidth="1"/>
    <col min="8199" max="8205" width="11" style="159" customWidth="1"/>
    <col min="8206" max="8206" width="25.75" style="159" customWidth="1"/>
    <col min="8207" max="8207" width="9" style="159"/>
    <col min="8208" max="8208" width="9.125" style="159" customWidth="1"/>
    <col min="8209" max="8448" width="9" style="159"/>
    <col min="8449" max="8449" width="16.25" style="159" customWidth="1"/>
    <col min="8450" max="8451" width="12.5" style="159" customWidth="1"/>
    <col min="8452" max="8452" width="11" style="159" customWidth="1"/>
    <col min="8453" max="8453" width="9.875" style="159" customWidth="1"/>
    <col min="8454" max="8454" width="11.75" style="159" customWidth="1"/>
    <col min="8455" max="8461" width="11" style="159" customWidth="1"/>
    <col min="8462" max="8462" width="25.75" style="159" customWidth="1"/>
    <col min="8463" max="8463" width="9" style="159"/>
    <col min="8464" max="8464" width="9.125" style="159" customWidth="1"/>
    <col min="8465" max="8704" width="9" style="159"/>
    <col min="8705" max="8705" width="16.25" style="159" customWidth="1"/>
    <col min="8706" max="8707" width="12.5" style="159" customWidth="1"/>
    <col min="8708" max="8708" width="11" style="159" customWidth="1"/>
    <col min="8709" max="8709" width="9.875" style="159" customWidth="1"/>
    <col min="8710" max="8710" width="11.75" style="159" customWidth="1"/>
    <col min="8711" max="8717" width="11" style="159" customWidth="1"/>
    <col min="8718" max="8718" width="25.75" style="159" customWidth="1"/>
    <col min="8719" max="8719" width="9" style="159"/>
    <col min="8720" max="8720" width="9.125" style="159" customWidth="1"/>
    <col min="8721" max="8960" width="9" style="159"/>
    <col min="8961" max="8961" width="16.25" style="159" customWidth="1"/>
    <col min="8962" max="8963" width="12.5" style="159" customWidth="1"/>
    <col min="8964" max="8964" width="11" style="159" customWidth="1"/>
    <col min="8965" max="8965" width="9.875" style="159" customWidth="1"/>
    <col min="8966" max="8966" width="11.75" style="159" customWidth="1"/>
    <col min="8967" max="8973" width="11" style="159" customWidth="1"/>
    <col min="8974" max="8974" width="25.75" style="159" customWidth="1"/>
    <col min="8975" max="8975" width="9" style="159"/>
    <col min="8976" max="8976" width="9.125" style="159" customWidth="1"/>
    <col min="8977" max="9216" width="9" style="159"/>
    <col min="9217" max="9217" width="16.25" style="159" customWidth="1"/>
    <col min="9218" max="9219" width="12.5" style="159" customWidth="1"/>
    <col min="9220" max="9220" width="11" style="159" customWidth="1"/>
    <col min="9221" max="9221" width="9.875" style="159" customWidth="1"/>
    <col min="9222" max="9222" width="11.75" style="159" customWidth="1"/>
    <col min="9223" max="9229" width="11" style="159" customWidth="1"/>
    <col min="9230" max="9230" width="25.75" style="159" customWidth="1"/>
    <col min="9231" max="9231" width="9" style="159"/>
    <col min="9232" max="9232" width="9.125" style="159" customWidth="1"/>
    <col min="9233" max="9472" width="9" style="159"/>
    <col min="9473" max="9473" width="16.25" style="159" customWidth="1"/>
    <col min="9474" max="9475" width="12.5" style="159" customWidth="1"/>
    <col min="9476" max="9476" width="11" style="159" customWidth="1"/>
    <col min="9477" max="9477" width="9.875" style="159" customWidth="1"/>
    <col min="9478" max="9478" width="11.75" style="159" customWidth="1"/>
    <col min="9479" max="9485" width="11" style="159" customWidth="1"/>
    <col min="9486" max="9486" width="25.75" style="159" customWidth="1"/>
    <col min="9487" max="9487" width="9" style="159"/>
    <col min="9488" max="9488" width="9.125" style="159" customWidth="1"/>
    <col min="9489" max="9728" width="9" style="159"/>
    <col min="9729" max="9729" width="16.25" style="159" customWidth="1"/>
    <col min="9730" max="9731" width="12.5" style="159" customWidth="1"/>
    <col min="9732" max="9732" width="11" style="159" customWidth="1"/>
    <col min="9733" max="9733" width="9.875" style="159" customWidth="1"/>
    <col min="9734" max="9734" width="11.75" style="159" customWidth="1"/>
    <col min="9735" max="9741" width="11" style="159" customWidth="1"/>
    <col min="9742" max="9742" width="25.75" style="159" customWidth="1"/>
    <col min="9743" max="9743" width="9" style="159"/>
    <col min="9744" max="9744" width="9.125" style="159" customWidth="1"/>
    <col min="9745" max="9984" width="9" style="159"/>
    <col min="9985" max="9985" width="16.25" style="159" customWidth="1"/>
    <col min="9986" max="9987" width="12.5" style="159" customWidth="1"/>
    <col min="9988" max="9988" width="11" style="159" customWidth="1"/>
    <col min="9989" max="9989" width="9.875" style="159" customWidth="1"/>
    <col min="9990" max="9990" width="11.75" style="159" customWidth="1"/>
    <col min="9991" max="9997" width="11" style="159" customWidth="1"/>
    <col min="9998" max="9998" width="25.75" style="159" customWidth="1"/>
    <col min="9999" max="9999" width="9" style="159"/>
    <col min="10000" max="10000" width="9.125" style="159" customWidth="1"/>
    <col min="10001" max="10240" width="9" style="159"/>
    <col min="10241" max="10241" width="16.25" style="159" customWidth="1"/>
    <col min="10242" max="10243" width="12.5" style="159" customWidth="1"/>
    <col min="10244" max="10244" width="11" style="159" customWidth="1"/>
    <col min="10245" max="10245" width="9.875" style="159" customWidth="1"/>
    <col min="10246" max="10246" width="11.75" style="159" customWidth="1"/>
    <col min="10247" max="10253" width="11" style="159" customWidth="1"/>
    <col min="10254" max="10254" width="25.75" style="159" customWidth="1"/>
    <col min="10255" max="10255" width="9" style="159"/>
    <col min="10256" max="10256" width="9.125" style="159" customWidth="1"/>
    <col min="10257" max="10496" width="9" style="159"/>
    <col min="10497" max="10497" width="16.25" style="159" customWidth="1"/>
    <col min="10498" max="10499" width="12.5" style="159" customWidth="1"/>
    <col min="10500" max="10500" width="11" style="159" customWidth="1"/>
    <col min="10501" max="10501" width="9.875" style="159" customWidth="1"/>
    <col min="10502" max="10502" width="11.75" style="159" customWidth="1"/>
    <col min="10503" max="10509" width="11" style="159" customWidth="1"/>
    <col min="10510" max="10510" width="25.75" style="159" customWidth="1"/>
    <col min="10511" max="10511" width="9" style="159"/>
    <col min="10512" max="10512" width="9.125" style="159" customWidth="1"/>
    <col min="10513" max="10752" width="9" style="159"/>
    <col min="10753" max="10753" width="16.25" style="159" customWidth="1"/>
    <col min="10754" max="10755" width="12.5" style="159" customWidth="1"/>
    <col min="10756" max="10756" width="11" style="159" customWidth="1"/>
    <col min="10757" max="10757" width="9.875" style="159" customWidth="1"/>
    <col min="10758" max="10758" width="11.75" style="159" customWidth="1"/>
    <col min="10759" max="10765" width="11" style="159" customWidth="1"/>
    <col min="10766" max="10766" width="25.75" style="159" customWidth="1"/>
    <col min="10767" max="10767" width="9" style="159"/>
    <col min="10768" max="10768" width="9.125" style="159" customWidth="1"/>
    <col min="10769" max="11008" width="9" style="159"/>
    <col min="11009" max="11009" width="16.25" style="159" customWidth="1"/>
    <col min="11010" max="11011" width="12.5" style="159" customWidth="1"/>
    <col min="11012" max="11012" width="11" style="159" customWidth="1"/>
    <col min="11013" max="11013" width="9.875" style="159" customWidth="1"/>
    <col min="11014" max="11014" width="11.75" style="159" customWidth="1"/>
    <col min="11015" max="11021" width="11" style="159" customWidth="1"/>
    <col min="11022" max="11022" width="25.75" style="159" customWidth="1"/>
    <col min="11023" max="11023" width="9" style="159"/>
    <col min="11024" max="11024" width="9.125" style="159" customWidth="1"/>
    <col min="11025" max="11264" width="9" style="159"/>
    <col min="11265" max="11265" width="16.25" style="159" customWidth="1"/>
    <col min="11266" max="11267" width="12.5" style="159" customWidth="1"/>
    <col min="11268" max="11268" width="11" style="159" customWidth="1"/>
    <col min="11269" max="11269" width="9.875" style="159" customWidth="1"/>
    <col min="11270" max="11270" width="11.75" style="159" customWidth="1"/>
    <col min="11271" max="11277" width="11" style="159" customWidth="1"/>
    <col min="11278" max="11278" width="25.75" style="159" customWidth="1"/>
    <col min="11279" max="11279" width="9" style="159"/>
    <col min="11280" max="11280" width="9.125" style="159" customWidth="1"/>
    <col min="11281" max="11520" width="9" style="159"/>
    <col min="11521" max="11521" width="16.25" style="159" customWidth="1"/>
    <col min="11522" max="11523" width="12.5" style="159" customWidth="1"/>
    <col min="11524" max="11524" width="11" style="159" customWidth="1"/>
    <col min="11525" max="11525" width="9.875" style="159" customWidth="1"/>
    <col min="11526" max="11526" width="11.75" style="159" customWidth="1"/>
    <col min="11527" max="11533" width="11" style="159" customWidth="1"/>
    <col min="11534" max="11534" width="25.75" style="159" customWidth="1"/>
    <col min="11535" max="11535" width="9" style="159"/>
    <col min="11536" max="11536" width="9.125" style="159" customWidth="1"/>
    <col min="11537" max="11776" width="9" style="159"/>
    <col min="11777" max="11777" width="16.25" style="159" customWidth="1"/>
    <col min="11778" max="11779" width="12.5" style="159" customWidth="1"/>
    <col min="11780" max="11780" width="11" style="159" customWidth="1"/>
    <col min="11781" max="11781" width="9.875" style="159" customWidth="1"/>
    <col min="11782" max="11782" width="11.75" style="159" customWidth="1"/>
    <col min="11783" max="11789" width="11" style="159" customWidth="1"/>
    <col min="11790" max="11790" width="25.75" style="159" customWidth="1"/>
    <col min="11791" max="11791" width="9" style="159"/>
    <col min="11792" max="11792" width="9.125" style="159" customWidth="1"/>
    <col min="11793" max="12032" width="9" style="159"/>
    <col min="12033" max="12033" width="16.25" style="159" customWidth="1"/>
    <col min="12034" max="12035" width="12.5" style="159" customWidth="1"/>
    <col min="12036" max="12036" width="11" style="159" customWidth="1"/>
    <col min="12037" max="12037" width="9.875" style="159" customWidth="1"/>
    <col min="12038" max="12038" width="11.75" style="159" customWidth="1"/>
    <col min="12039" max="12045" width="11" style="159" customWidth="1"/>
    <col min="12046" max="12046" width="25.75" style="159" customWidth="1"/>
    <col min="12047" max="12047" width="9" style="159"/>
    <col min="12048" max="12048" width="9.125" style="159" customWidth="1"/>
    <col min="12049" max="12288" width="9" style="159"/>
    <col min="12289" max="12289" width="16.25" style="159" customWidth="1"/>
    <col min="12290" max="12291" width="12.5" style="159" customWidth="1"/>
    <col min="12292" max="12292" width="11" style="159" customWidth="1"/>
    <col min="12293" max="12293" width="9.875" style="159" customWidth="1"/>
    <col min="12294" max="12294" width="11.75" style="159" customWidth="1"/>
    <col min="12295" max="12301" width="11" style="159" customWidth="1"/>
    <col min="12302" max="12302" width="25.75" style="159" customWidth="1"/>
    <col min="12303" max="12303" width="9" style="159"/>
    <col min="12304" max="12304" width="9.125" style="159" customWidth="1"/>
    <col min="12305" max="12544" width="9" style="159"/>
    <col min="12545" max="12545" width="16.25" style="159" customWidth="1"/>
    <col min="12546" max="12547" width="12.5" style="159" customWidth="1"/>
    <col min="12548" max="12548" width="11" style="159" customWidth="1"/>
    <col min="12549" max="12549" width="9.875" style="159" customWidth="1"/>
    <col min="12550" max="12550" width="11.75" style="159" customWidth="1"/>
    <col min="12551" max="12557" width="11" style="159" customWidth="1"/>
    <col min="12558" max="12558" width="25.75" style="159" customWidth="1"/>
    <col min="12559" max="12559" width="9" style="159"/>
    <col min="12560" max="12560" width="9.125" style="159" customWidth="1"/>
    <col min="12561" max="12800" width="9" style="159"/>
    <col min="12801" max="12801" width="16.25" style="159" customWidth="1"/>
    <col min="12802" max="12803" width="12.5" style="159" customWidth="1"/>
    <col min="12804" max="12804" width="11" style="159" customWidth="1"/>
    <col min="12805" max="12805" width="9.875" style="159" customWidth="1"/>
    <col min="12806" max="12806" width="11.75" style="159" customWidth="1"/>
    <col min="12807" max="12813" width="11" style="159" customWidth="1"/>
    <col min="12814" max="12814" width="25.75" style="159" customWidth="1"/>
    <col min="12815" max="12815" width="9" style="159"/>
    <col min="12816" max="12816" width="9.125" style="159" customWidth="1"/>
    <col min="12817" max="13056" width="9" style="159"/>
    <col min="13057" max="13057" width="16.25" style="159" customWidth="1"/>
    <col min="13058" max="13059" width="12.5" style="159" customWidth="1"/>
    <col min="13060" max="13060" width="11" style="159" customWidth="1"/>
    <col min="13061" max="13061" width="9.875" style="159" customWidth="1"/>
    <col min="13062" max="13062" width="11.75" style="159" customWidth="1"/>
    <col min="13063" max="13069" width="11" style="159" customWidth="1"/>
    <col min="13070" max="13070" width="25.75" style="159" customWidth="1"/>
    <col min="13071" max="13071" width="9" style="159"/>
    <col min="13072" max="13072" width="9.125" style="159" customWidth="1"/>
    <col min="13073" max="13312" width="9" style="159"/>
    <col min="13313" max="13313" width="16.25" style="159" customWidth="1"/>
    <col min="13314" max="13315" width="12.5" style="159" customWidth="1"/>
    <col min="13316" max="13316" width="11" style="159" customWidth="1"/>
    <col min="13317" max="13317" width="9.875" style="159" customWidth="1"/>
    <col min="13318" max="13318" width="11.75" style="159" customWidth="1"/>
    <col min="13319" max="13325" width="11" style="159" customWidth="1"/>
    <col min="13326" max="13326" width="25.75" style="159" customWidth="1"/>
    <col min="13327" max="13327" width="9" style="159"/>
    <col min="13328" max="13328" width="9.125" style="159" customWidth="1"/>
    <col min="13329" max="13568" width="9" style="159"/>
    <col min="13569" max="13569" width="16.25" style="159" customWidth="1"/>
    <col min="13570" max="13571" width="12.5" style="159" customWidth="1"/>
    <col min="13572" max="13572" width="11" style="159" customWidth="1"/>
    <col min="13573" max="13573" width="9.875" style="159" customWidth="1"/>
    <col min="13574" max="13574" width="11.75" style="159" customWidth="1"/>
    <col min="13575" max="13581" width="11" style="159" customWidth="1"/>
    <col min="13582" max="13582" width="25.75" style="159" customWidth="1"/>
    <col min="13583" max="13583" width="9" style="159"/>
    <col min="13584" max="13584" width="9.125" style="159" customWidth="1"/>
    <col min="13585" max="13824" width="9" style="159"/>
    <col min="13825" max="13825" width="16.25" style="159" customWidth="1"/>
    <col min="13826" max="13827" width="12.5" style="159" customWidth="1"/>
    <col min="13828" max="13828" width="11" style="159" customWidth="1"/>
    <col min="13829" max="13829" width="9.875" style="159" customWidth="1"/>
    <col min="13830" max="13830" width="11.75" style="159" customWidth="1"/>
    <col min="13831" max="13837" width="11" style="159" customWidth="1"/>
    <col min="13838" max="13838" width="25.75" style="159" customWidth="1"/>
    <col min="13839" max="13839" width="9" style="159"/>
    <col min="13840" max="13840" width="9.125" style="159" customWidth="1"/>
    <col min="13841" max="14080" width="9" style="159"/>
    <col min="14081" max="14081" width="16.25" style="159" customWidth="1"/>
    <col min="14082" max="14083" width="12.5" style="159" customWidth="1"/>
    <col min="14084" max="14084" width="11" style="159" customWidth="1"/>
    <col min="14085" max="14085" width="9.875" style="159" customWidth="1"/>
    <col min="14086" max="14086" width="11.75" style="159" customWidth="1"/>
    <col min="14087" max="14093" width="11" style="159" customWidth="1"/>
    <col min="14094" max="14094" width="25.75" style="159" customWidth="1"/>
    <col min="14095" max="14095" width="9" style="159"/>
    <col min="14096" max="14096" width="9.125" style="159" customWidth="1"/>
    <col min="14097" max="14336" width="9" style="159"/>
    <col min="14337" max="14337" width="16.25" style="159" customWidth="1"/>
    <col min="14338" max="14339" width="12.5" style="159" customWidth="1"/>
    <col min="14340" max="14340" width="11" style="159" customWidth="1"/>
    <col min="14341" max="14341" width="9.875" style="159" customWidth="1"/>
    <col min="14342" max="14342" width="11.75" style="159" customWidth="1"/>
    <col min="14343" max="14349" width="11" style="159" customWidth="1"/>
    <col min="14350" max="14350" width="25.75" style="159" customWidth="1"/>
    <col min="14351" max="14351" width="9" style="159"/>
    <col min="14352" max="14352" width="9.125" style="159" customWidth="1"/>
    <col min="14353" max="14592" width="9" style="159"/>
    <col min="14593" max="14593" width="16.25" style="159" customWidth="1"/>
    <col min="14594" max="14595" width="12.5" style="159" customWidth="1"/>
    <col min="14596" max="14596" width="11" style="159" customWidth="1"/>
    <col min="14597" max="14597" width="9.875" style="159" customWidth="1"/>
    <col min="14598" max="14598" width="11.75" style="159" customWidth="1"/>
    <col min="14599" max="14605" width="11" style="159" customWidth="1"/>
    <col min="14606" max="14606" width="25.75" style="159" customWidth="1"/>
    <col min="14607" max="14607" width="9" style="159"/>
    <col min="14608" max="14608" width="9.125" style="159" customWidth="1"/>
    <col min="14609" max="14848" width="9" style="159"/>
    <col min="14849" max="14849" width="16.25" style="159" customWidth="1"/>
    <col min="14850" max="14851" width="12.5" style="159" customWidth="1"/>
    <col min="14852" max="14852" width="11" style="159" customWidth="1"/>
    <col min="14853" max="14853" width="9.875" style="159" customWidth="1"/>
    <col min="14854" max="14854" width="11.75" style="159" customWidth="1"/>
    <col min="14855" max="14861" width="11" style="159" customWidth="1"/>
    <col min="14862" max="14862" width="25.75" style="159" customWidth="1"/>
    <col min="14863" max="14863" width="9" style="159"/>
    <col min="14864" max="14864" width="9.125" style="159" customWidth="1"/>
    <col min="14865" max="15104" width="9" style="159"/>
    <col min="15105" max="15105" width="16.25" style="159" customWidth="1"/>
    <col min="15106" max="15107" width="12.5" style="159" customWidth="1"/>
    <col min="15108" max="15108" width="11" style="159" customWidth="1"/>
    <col min="15109" max="15109" width="9.875" style="159" customWidth="1"/>
    <col min="15110" max="15110" width="11.75" style="159" customWidth="1"/>
    <col min="15111" max="15117" width="11" style="159" customWidth="1"/>
    <col min="15118" max="15118" width="25.75" style="159" customWidth="1"/>
    <col min="15119" max="15119" width="9" style="159"/>
    <col min="15120" max="15120" width="9.125" style="159" customWidth="1"/>
    <col min="15121" max="15360" width="9" style="159"/>
    <col min="15361" max="15361" width="16.25" style="159" customWidth="1"/>
    <col min="15362" max="15363" width="12.5" style="159" customWidth="1"/>
    <col min="15364" max="15364" width="11" style="159" customWidth="1"/>
    <col min="15365" max="15365" width="9.875" style="159" customWidth="1"/>
    <col min="15366" max="15366" width="11.75" style="159" customWidth="1"/>
    <col min="15367" max="15373" width="11" style="159" customWidth="1"/>
    <col min="15374" max="15374" width="25.75" style="159" customWidth="1"/>
    <col min="15375" max="15375" width="9" style="159"/>
    <col min="15376" max="15376" width="9.125" style="159" customWidth="1"/>
    <col min="15377" max="15616" width="9" style="159"/>
    <col min="15617" max="15617" width="16.25" style="159" customWidth="1"/>
    <col min="15618" max="15619" width="12.5" style="159" customWidth="1"/>
    <col min="15620" max="15620" width="11" style="159" customWidth="1"/>
    <col min="15621" max="15621" width="9.875" style="159" customWidth="1"/>
    <col min="15622" max="15622" width="11.75" style="159" customWidth="1"/>
    <col min="15623" max="15629" width="11" style="159" customWidth="1"/>
    <col min="15630" max="15630" width="25.75" style="159" customWidth="1"/>
    <col min="15631" max="15631" width="9" style="159"/>
    <col min="15632" max="15632" width="9.125" style="159" customWidth="1"/>
    <col min="15633" max="15872" width="9" style="159"/>
    <col min="15873" max="15873" width="16.25" style="159" customWidth="1"/>
    <col min="15874" max="15875" width="12.5" style="159" customWidth="1"/>
    <col min="15876" max="15876" width="11" style="159" customWidth="1"/>
    <col min="15877" max="15877" width="9.875" style="159" customWidth="1"/>
    <col min="15878" max="15878" width="11.75" style="159" customWidth="1"/>
    <col min="15879" max="15885" width="11" style="159" customWidth="1"/>
    <col min="15886" max="15886" width="25.75" style="159" customWidth="1"/>
    <col min="15887" max="15887" width="9" style="159"/>
    <col min="15888" max="15888" width="9.125" style="159" customWidth="1"/>
    <col min="15889" max="16128" width="9" style="159"/>
    <col min="16129" max="16129" width="16.25" style="159" customWidth="1"/>
    <col min="16130" max="16131" width="12.5" style="159" customWidth="1"/>
    <col min="16132" max="16132" width="11" style="159" customWidth="1"/>
    <col min="16133" max="16133" width="9.875" style="159" customWidth="1"/>
    <col min="16134" max="16134" width="11.75" style="159" customWidth="1"/>
    <col min="16135" max="16141" width="11" style="159" customWidth="1"/>
    <col min="16142" max="16142" width="25.75" style="159" customWidth="1"/>
    <col min="16143" max="16143" width="9" style="159"/>
    <col min="16144" max="16144" width="9.125" style="159" customWidth="1"/>
    <col min="16145" max="16384" width="9" style="159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15" t="s">
        <v>364</v>
      </c>
    </row>
    <row r="3" s="123" customFormat="1" ht="15" customHeight="1" spans="1:15">
      <c r="A3" s="123" t="str">
        <f>'G-高新'!A3</f>
        <v>编制期间：2020年4月</v>
      </c>
      <c r="G3" s="124" t="s">
        <v>361</v>
      </c>
      <c r="H3" s="124"/>
      <c r="I3" s="124"/>
      <c r="N3" s="136"/>
      <c r="O3" s="136"/>
    </row>
    <row r="4" s="15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16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164"/>
      <c r="D7" s="21"/>
      <c r="E7" s="21">
        <v>-195.61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-195.61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164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164">
        <v>305</v>
      </c>
      <c r="D9" s="21">
        <v>300</v>
      </c>
      <c r="E9" s="21">
        <v>1530</v>
      </c>
      <c r="F9" s="21"/>
      <c r="G9" s="21"/>
      <c r="H9" s="21"/>
      <c r="I9" s="21"/>
      <c r="J9" s="21"/>
      <c r="K9" s="21"/>
      <c r="L9" s="21"/>
      <c r="M9" s="21"/>
      <c r="N9" s="21"/>
      <c r="O9" s="47">
        <f t="shared" si="0"/>
        <v>2135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164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164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164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305</v>
      </c>
      <c r="D13" s="58">
        <f t="shared" ref="D13:N13" si="1">SUM(D6:D12)</f>
        <v>300</v>
      </c>
      <c r="E13" s="58">
        <f t="shared" si="1"/>
        <v>1334.39</v>
      </c>
      <c r="F13" s="58">
        <f t="shared" si="1"/>
        <v>0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1939.39</v>
      </c>
      <c r="P13" s="156"/>
      <c r="Q13" s="156"/>
      <c r="R13" s="156"/>
      <c r="S13" s="156"/>
      <c r="T13" s="156"/>
      <c r="U13" s="156"/>
      <c r="V13" s="156"/>
    </row>
    <row r="14" spans="4:22">
      <c r="D14" s="154"/>
      <c r="E14" s="154"/>
      <c r="F14" s="154"/>
      <c r="G14" s="160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spans="1:22">
      <c r="A15" s="132" t="s">
        <v>363</v>
      </c>
      <c r="B15" s="132"/>
      <c r="C15" s="132"/>
      <c r="D15" s="161">
        <v>1661.6</v>
      </c>
      <c r="E15" s="161"/>
      <c r="F15" s="161"/>
      <c r="G15" s="160"/>
      <c r="H15" s="154"/>
      <c r="I15" s="161"/>
      <c r="J15" s="161"/>
      <c r="K15" s="161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34">
        <f>D15-D13-'C-九江吉慕特'!D13-'C-张家港吉慕特'!D13</f>
        <v>-9.2370555648813e-14</v>
      </c>
      <c r="E16" s="154"/>
      <c r="F16" s="154"/>
      <c r="G16" s="160"/>
      <c r="H16" s="154"/>
      <c r="I16" s="154"/>
      <c r="J16" s="154"/>
      <c r="K16" s="154">
        <f>K13+'C-九江吉慕特'!K13+'C-张家港吉慕特'!K13</f>
        <v>0</v>
      </c>
      <c r="L16" s="154"/>
      <c r="M16" s="154"/>
      <c r="N16" s="154">
        <f>N13+'C-九江吉慕特'!N13+'C-张家港吉慕特'!N13</f>
        <v>0</v>
      </c>
      <c r="O16" s="154">
        <f>O15-O13</f>
        <v>-1939.39</v>
      </c>
      <c r="P16" s="154"/>
      <c r="Q16" s="154"/>
      <c r="R16" s="154"/>
      <c r="S16" s="154"/>
      <c r="T16" s="154"/>
      <c r="U16" s="154"/>
      <c r="V16" s="154"/>
    </row>
    <row r="17" s="158" customFormat="1" spans="4:22">
      <c r="D17" s="134"/>
      <c r="E17" s="134">
        <f>E13+'C-九江吉慕特'!E13+'C-张家港吉慕特'!E13</f>
        <v>-1952.6</v>
      </c>
      <c r="F17" s="134"/>
      <c r="G17" s="134">
        <f>G13+'C-九江吉慕特'!G13+'C-张家港吉慕特'!G13</f>
        <v>0</v>
      </c>
      <c r="H17" s="134">
        <f>H13+'C-九江吉慕特'!H13+'C-张家港吉慕特'!H13</f>
        <v>0</v>
      </c>
      <c r="I17" s="134">
        <f>I13+'C-九江吉慕特'!I13+'C-张家港吉慕特'!I13</f>
        <v>0</v>
      </c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</row>
    <row r="18" spans="4:22">
      <c r="D18" s="154"/>
      <c r="E18" s="154"/>
      <c r="F18" s="154"/>
      <c r="G18" s="160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</row>
    <row r="19" spans="7:7">
      <c r="G19" s="162"/>
    </row>
    <row r="20" spans="7:7">
      <c r="G20" s="162"/>
    </row>
    <row r="21" spans="7:7">
      <c r="G21" s="162"/>
    </row>
    <row r="22" spans="7:7">
      <c r="G22" s="162"/>
    </row>
    <row r="23" spans="7:7">
      <c r="G23" s="162"/>
    </row>
    <row r="24" spans="7:7">
      <c r="G24" s="162"/>
    </row>
    <row r="25" spans="7:7">
      <c r="G25" s="162"/>
    </row>
    <row r="26" spans="7:7">
      <c r="G26" s="162"/>
    </row>
    <row r="27" spans="7:7">
      <c r="G27" s="162"/>
    </row>
    <row r="28" spans="7:7">
      <c r="G28" s="162"/>
    </row>
    <row r="29" spans="7:7">
      <c r="G29" s="162"/>
    </row>
    <row r="30" spans="7:7">
      <c r="G30" s="162"/>
    </row>
    <row r="31" spans="7:7">
      <c r="G31" s="162"/>
    </row>
    <row r="32" spans="7:7">
      <c r="G32" s="162"/>
    </row>
    <row r="33" spans="7:7">
      <c r="G33" s="162"/>
    </row>
    <row r="34" spans="7:7">
      <c r="G34" s="162"/>
    </row>
    <row r="35" spans="7:7">
      <c r="G35" s="162"/>
    </row>
    <row r="36" spans="7:7">
      <c r="G36" s="162"/>
    </row>
    <row r="37" spans="7:7">
      <c r="G37" s="162"/>
    </row>
    <row r="38" spans="7:7">
      <c r="G38" s="162"/>
    </row>
    <row r="39" spans="7:7">
      <c r="G39" s="162"/>
    </row>
    <row r="40" spans="7:7">
      <c r="G40" s="162"/>
    </row>
    <row r="41" spans="7:7">
      <c r="G41" s="162"/>
    </row>
    <row r="42" spans="7:7">
      <c r="G42" s="162"/>
    </row>
    <row r="43" spans="7:7">
      <c r="G43" s="162"/>
    </row>
    <row r="44" spans="7:7">
      <c r="G44" s="162"/>
    </row>
    <row r="45" spans="7:7">
      <c r="G45" s="162"/>
    </row>
    <row r="46" spans="7:7">
      <c r="G46" s="162"/>
    </row>
    <row r="47" spans="7:7">
      <c r="G47" s="162"/>
    </row>
    <row r="48" spans="7:7">
      <c r="G48" s="162"/>
    </row>
    <row r="49" spans="7:7">
      <c r="G49" s="162"/>
    </row>
    <row r="50" spans="7:7">
      <c r="G50" s="162"/>
    </row>
    <row r="51" spans="7:7">
      <c r="G51" s="162"/>
    </row>
    <row r="52" spans="7:7">
      <c r="G52" s="162"/>
    </row>
    <row r="53" spans="7:7">
      <c r="G53" s="162"/>
    </row>
    <row r="54" spans="7:7">
      <c r="G54" s="162"/>
    </row>
    <row r="55" spans="7:7">
      <c r="G55" s="162"/>
    </row>
    <row r="56" spans="7:7">
      <c r="G56" s="162"/>
    </row>
    <row r="57" spans="7:7">
      <c r="G57" s="162"/>
    </row>
    <row r="58" spans="7:7">
      <c r="G58" s="162"/>
    </row>
    <row r="59" spans="7:7">
      <c r="G59" s="162"/>
    </row>
    <row r="60" spans="7:7">
      <c r="G60" s="162"/>
    </row>
    <row r="61" spans="7:7">
      <c r="G61" s="162"/>
    </row>
    <row r="62" spans="7:7">
      <c r="G62" s="162"/>
    </row>
    <row r="63" spans="7:7">
      <c r="G63" s="162"/>
    </row>
    <row r="64" spans="7:7">
      <c r="G64" s="162"/>
    </row>
    <row r="65" spans="7:7">
      <c r="G65" s="162"/>
    </row>
    <row r="66" spans="7:7">
      <c r="G66" s="162"/>
    </row>
    <row r="67" spans="7:7">
      <c r="G67" s="162"/>
    </row>
    <row r="68" spans="7:7">
      <c r="G68" s="162"/>
    </row>
    <row r="69" spans="7:7">
      <c r="G69" s="162"/>
    </row>
    <row r="70" spans="7:7">
      <c r="G70" s="162"/>
    </row>
    <row r="71" spans="7:7">
      <c r="G71" s="162"/>
    </row>
    <row r="72" spans="7:7">
      <c r="G72" s="162"/>
    </row>
    <row r="73" spans="7:7">
      <c r="G73" s="162"/>
    </row>
    <row r="74" spans="7:7">
      <c r="G74" s="162"/>
    </row>
    <row r="75" spans="7:7">
      <c r="G75" s="162"/>
    </row>
    <row r="76" spans="7:7">
      <c r="G76" s="162"/>
    </row>
    <row r="77" spans="7:7">
      <c r="G77" s="162"/>
    </row>
    <row r="78" spans="7:7">
      <c r="G78" s="162"/>
    </row>
    <row r="79" spans="7:7">
      <c r="G79" s="162"/>
    </row>
    <row r="80" spans="7:7">
      <c r="G80" s="162"/>
    </row>
    <row r="81" spans="7:7">
      <c r="G81" s="162"/>
    </row>
    <row r="82" spans="7:7">
      <c r="G82" s="162"/>
    </row>
    <row r="83" spans="7:7">
      <c r="G83" s="162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A15:IV15 O14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83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20" sqref="F20"/>
    </sheetView>
  </sheetViews>
  <sheetFormatPr defaultColWidth="9" defaultRowHeight="12.75"/>
  <cols>
    <col min="1" max="1" width="16.25" style="159" customWidth="1"/>
    <col min="2" max="2" width="12.5" style="159" customWidth="1"/>
    <col min="3" max="14" width="14.25" style="159" customWidth="1"/>
    <col min="15" max="15" width="18.375" style="159" customWidth="1"/>
    <col min="16" max="16" width="9.125" style="159" customWidth="1"/>
    <col min="17" max="256" width="9" style="159"/>
    <col min="257" max="257" width="16.25" style="159" customWidth="1"/>
    <col min="258" max="259" width="12.5" style="159" customWidth="1"/>
    <col min="260" max="260" width="11" style="159" customWidth="1"/>
    <col min="261" max="261" width="9.875" style="159" customWidth="1"/>
    <col min="262" max="262" width="11.75" style="159" customWidth="1"/>
    <col min="263" max="269" width="11" style="159" customWidth="1"/>
    <col min="270" max="270" width="25.75" style="159" customWidth="1"/>
    <col min="271" max="271" width="9" style="159"/>
    <col min="272" max="272" width="9.125" style="159" customWidth="1"/>
    <col min="273" max="512" width="9" style="159"/>
    <col min="513" max="513" width="16.25" style="159" customWidth="1"/>
    <col min="514" max="515" width="12.5" style="159" customWidth="1"/>
    <col min="516" max="516" width="11" style="159" customWidth="1"/>
    <col min="517" max="517" width="9.875" style="159" customWidth="1"/>
    <col min="518" max="518" width="11.75" style="159" customWidth="1"/>
    <col min="519" max="525" width="11" style="159" customWidth="1"/>
    <col min="526" max="526" width="25.75" style="159" customWidth="1"/>
    <col min="527" max="527" width="9" style="159"/>
    <col min="528" max="528" width="9.125" style="159" customWidth="1"/>
    <col min="529" max="768" width="9" style="159"/>
    <col min="769" max="769" width="16.25" style="159" customWidth="1"/>
    <col min="770" max="771" width="12.5" style="159" customWidth="1"/>
    <col min="772" max="772" width="11" style="159" customWidth="1"/>
    <col min="773" max="773" width="9.875" style="159" customWidth="1"/>
    <col min="774" max="774" width="11.75" style="159" customWidth="1"/>
    <col min="775" max="781" width="11" style="159" customWidth="1"/>
    <col min="782" max="782" width="25.75" style="159" customWidth="1"/>
    <col min="783" max="783" width="9" style="159"/>
    <col min="784" max="784" width="9.125" style="159" customWidth="1"/>
    <col min="785" max="1024" width="9" style="159"/>
    <col min="1025" max="1025" width="16.25" style="159" customWidth="1"/>
    <col min="1026" max="1027" width="12.5" style="159" customWidth="1"/>
    <col min="1028" max="1028" width="11" style="159" customWidth="1"/>
    <col min="1029" max="1029" width="9.875" style="159" customWidth="1"/>
    <col min="1030" max="1030" width="11.75" style="159" customWidth="1"/>
    <col min="1031" max="1037" width="11" style="159" customWidth="1"/>
    <col min="1038" max="1038" width="25.75" style="159" customWidth="1"/>
    <col min="1039" max="1039" width="9" style="159"/>
    <col min="1040" max="1040" width="9.125" style="159" customWidth="1"/>
    <col min="1041" max="1280" width="9" style="159"/>
    <col min="1281" max="1281" width="16.25" style="159" customWidth="1"/>
    <col min="1282" max="1283" width="12.5" style="159" customWidth="1"/>
    <col min="1284" max="1284" width="11" style="159" customWidth="1"/>
    <col min="1285" max="1285" width="9.875" style="159" customWidth="1"/>
    <col min="1286" max="1286" width="11.75" style="159" customWidth="1"/>
    <col min="1287" max="1293" width="11" style="159" customWidth="1"/>
    <col min="1294" max="1294" width="25.75" style="159" customWidth="1"/>
    <col min="1295" max="1295" width="9" style="159"/>
    <col min="1296" max="1296" width="9.125" style="159" customWidth="1"/>
    <col min="1297" max="1536" width="9" style="159"/>
    <col min="1537" max="1537" width="16.25" style="159" customWidth="1"/>
    <col min="1538" max="1539" width="12.5" style="159" customWidth="1"/>
    <col min="1540" max="1540" width="11" style="159" customWidth="1"/>
    <col min="1541" max="1541" width="9.875" style="159" customWidth="1"/>
    <col min="1542" max="1542" width="11.75" style="159" customWidth="1"/>
    <col min="1543" max="1549" width="11" style="159" customWidth="1"/>
    <col min="1550" max="1550" width="25.75" style="159" customWidth="1"/>
    <col min="1551" max="1551" width="9" style="159"/>
    <col min="1552" max="1552" width="9.125" style="159" customWidth="1"/>
    <col min="1553" max="1792" width="9" style="159"/>
    <col min="1793" max="1793" width="16.25" style="159" customWidth="1"/>
    <col min="1794" max="1795" width="12.5" style="159" customWidth="1"/>
    <col min="1796" max="1796" width="11" style="159" customWidth="1"/>
    <col min="1797" max="1797" width="9.875" style="159" customWidth="1"/>
    <col min="1798" max="1798" width="11.75" style="159" customWidth="1"/>
    <col min="1799" max="1805" width="11" style="159" customWidth="1"/>
    <col min="1806" max="1806" width="25.75" style="159" customWidth="1"/>
    <col min="1807" max="1807" width="9" style="159"/>
    <col min="1808" max="1808" width="9.125" style="159" customWidth="1"/>
    <col min="1809" max="2048" width="9" style="159"/>
    <col min="2049" max="2049" width="16.25" style="159" customWidth="1"/>
    <col min="2050" max="2051" width="12.5" style="159" customWidth="1"/>
    <col min="2052" max="2052" width="11" style="159" customWidth="1"/>
    <col min="2053" max="2053" width="9.875" style="159" customWidth="1"/>
    <col min="2054" max="2054" width="11.75" style="159" customWidth="1"/>
    <col min="2055" max="2061" width="11" style="159" customWidth="1"/>
    <col min="2062" max="2062" width="25.75" style="159" customWidth="1"/>
    <col min="2063" max="2063" width="9" style="159"/>
    <col min="2064" max="2064" width="9.125" style="159" customWidth="1"/>
    <col min="2065" max="2304" width="9" style="159"/>
    <col min="2305" max="2305" width="16.25" style="159" customWidth="1"/>
    <col min="2306" max="2307" width="12.5" style="159" customWidth="1"/>
    <col min="2308" max="2308" width="11" style="159" customWidth="1"/>
    <col min="2309" max="2309" width="9.875" style="159" customWidth="1"/>
    <col min="2310" max="2310" width="11.75" style="159" customWidth="1"/>
    <col min="2311" max="2317" width="11" style="159" customWidth="1"/>
    <col min="2318" max="2318" width="25.75" style="159" customWidth="1"/>
    <col min="2319" max="2319" width="9" style="159"/>
    <col min="2320" max="2320" width="9.125" style="159" customWidth="1"/>
    <col min="2321" max="2560" width="9" style="159"/>
    <col min="2561" max="2561" width="16.25" style="159" customWidth="1"/>
    <col min="2562" max="2563" width="12.5" style="159" customWidth="1"/>
    <col min="2564" max="2564" width="11" style="159" customWidth="1"/>
    <col min="2565" max="2565" width="9.875" style="159" customWidth="1"/>
    <col min="2566" max="2566" width="11.75" style="159" customWidth="1"/>
    <col min="2567" max="2573" width="11" style="159" customWidth="1"/>
    <col min="2574" max="2574" width="25.75" style="159" customWidth="1"/>
    <col min="2575" max="2575" width="9" style="159"/>
    <col min="2576" max="2576" width="9.125" style="159" customWidth="1"/>
    <col min="2577" max="2816" width="9" style="159"/>
    <col min="2817" max="2817" width="16.25" style="159" customWidth="1"/>
    <col min="2818" max="2819" width="12.5" style="159" customWidth="1"/>
    <col min="2820" max="2820" width="11" style="159" customWidth="1"/>
    <col min="2821" max="2821" width="9.875" style="159" customWidth="1"/>
    <col min="2822" max="2822" width="11.75" style="159" customWidth="1"/>
    <col min="2823" max="2829" width="11" style="159" customWidth="1"/>
    <col min="2830" max="2830" width="25.75" style="159" customWidth="1"/>
    <col min="2831" max="2831" width="9" style="159"/>
    <col min="2832" max="2832" width="9.125" style="159" customWidth="1"/>
    <col min="2833" max="3072" width="9" style="159"/>
    <col min="3073" max="3073" width="16.25" style="159" customWidth="1"/>
    <col min="3074" max="3075" width="12.5" style="159" customWidth="1"/>
    <col min="3076" max="3076" width="11" style="159" customWidth="1"/>
    <col min="3077" max="3077" width="9.875" style="159" customWidth="1"/>
    <col min="3078" max="3078" width="11.75" style="159" customWidth="1"/>
    <col min="3079" max="3085" width="11" style="159" customWidth="1"/>
    <col min="3086" max="3086" width="25.75" style="159" customWidth="1"/>
    <col min="3087" max="3087" width="9" style="159"/>
    <col min="3088" max="3088" width="9.125" style="159" customWidth="1"/>
    <col min="3089" max="3328" width="9" style="159"/>
    <col min="3329" max="3329" width="16.25" style="159" customWidth="1"/>
    <col min="3330" max="3331" width="12.5" style="159" customWidth="1"/>
    <col min="3332" max="3332" width="11" style="159" customWidth="1"/>
    <col min="3333" max="3333" width="9.875" style="159" customWidth="1"/>
    <col min="3334" max="3334" width="11.75" style="159" customWidth="1"/>
    <col min="3335" max="3341" width="11" style="159" customWidth="1"/>
    <col min="3342" max="3342" width="25.75" style="159" customWidth="1"/>
    <col min="3343" max="3343" width="9" style="159"/>
    <col min="3344" max="3344" width="9.125" style="159" customWidth="1"/>
    <col min="3345" max="3584" width="9" style="159"/>
    <col min="3585" max="3585" width="16.25" style="159" customWidth="1"/>
    <col min="3586" max="3587" width="12.5" style="159" customWidth="1"/>
    <col min="3588" max="3588" width="11" style="159" customWidth="1"/>
    <col min="3589" max="3589" width="9.875" style="159" customWidth="1"/>
    <col min="3590" max="3590" width="11.75" style="159" customWidth="1"/>
    <col min="3591" max="3597" width="11" style="159" customWidth="1"/>
    <col min="3598" max="3598" width="25.75" style="159" customWidth="1"/>
    <col min="3599" max="3599" width="9" style="159"/>
    <col min="3600" max="3600" width="9.125" style="159" customWidth="1"/>
    <col min="3601" max="3840" width="9" style="159"/>
    <col min="3841" max="3841" width="16.25" style="159" customWidth="1"/>
    <col min="3842" max="3843" width="12.5" style="159" customWidth="1"/>
    <col min="3844" max="3844" width="11" style="159" customWidth="1"/>
    <col min="3845" max="3845" width="9.875" style="159" customWidth="1"/>
    <col min="3846" max="3846" width="11.75" style="159" customWidth="1"/>
    <col min="3847" max="3853" width="11" style="159" customWidth="1"/>
    <col min="3854" max="3854" width="25.75" style="159" customWidth="1"/>
    <col min="3855" max="3855" width="9" style="159"/>
    <col min="3856" max="3856" width="9.125" style="159" customWidth="1"/>
    <col min="3857" max="4096" width="9" style="159"/>
    <col min="4097" max="4097" width="16.25" style="159" customWidth="1"/>
    <col min="4098" max="4099" width="12.5" style="159" customWidth="1"/>
    <col min="4100" max="4100" width="11" style="159" customWidth="1"/>
    <col min="4101" max="4101" width="9.875" style="159" customWidth="1"/>
    <col min="4102" max="4102" width="11.75" style="159" customWidth="1"/>
    <col min="4103" max="4109" width="11" style="159" customWidth="1"/>
    <col min="4110" max="4110" width="25.75" style="159" customWidth="1"/>
    <col min="4111" max="4111" width="9" style="159"/>
    <col min="4112" max="4112" width="9.125" style="159" customWidth="1"/>
    <col min="4113" max="4352" width="9" style="159"/>
    <col min="4353" max="4353" width="16.25" style="159" customWidth="1"/>
    <col min="4354" max="4355" width="12.5" style="159" customWidth="1"/>
    <col min="4356" max="4356" width="11" style="159" customWidth="1"/>
    <col min="4357" max="4357" width="9.875" style="159" customWidth="1"/>
    <col min="4358" max="4358" width="11.75" style="159" customWidth="1"/>
    <col min="4359" max="4365" width="11" style="159" customWidth="1"/>
    <col min="4366" max="4366" width="25.75" style="159" customWidth="1"/>
    <col min="4367" max="4367" width="9" style="159"/>
    <col min="4368" max="4368" width="9.125" style="159" customWidth="1"/>
    <col min="4369" max="4608" width="9" style="159"/>
    <col min="4609" max="4609" width="16.25" style="159" customWidth="1"/>
    <col min="4610" max="4611" width="12.5" style="159" customWidth="1"/>
    <col min="4612" max="4612" width="11" style="159" customWidth="1"/>
    <col min="4613" max="4613" width="9.875" style="159" customWidth="1"/>
    <col min="4614" max="4614" width="11.75" style="159" customWidth="1"/>
    <col min="4615" max="4621" width="11" style="159" customWidth="1"/>
    <col min="4622" max="4622" width="25.75" style="159" customWidth="1"/>
    <col min="4623" max="4623" width="9" style="159"/>
    <col min="4624" max="4624" width="9.125" style="159" customWidth="1"/>
    <col min="4625" max="4864" width="9" style="159"/>
    <col min="4865" max="4865" width="16.25" style="159" customWidth="1"/>
    <col min="4866" max="4867" width="12.5" style="159" customWidth="1"/>
    <col min="4868" max="4868" width="11" style="159" customWidth="1"/>
    <col min="4869" max="4869" width="9.875" style="159" customWidth="1"/>
    <col min="4870" max="4870" width="11.75" style="159" customWidth="1"/>
    <col min="4871" max="4877" width="11" style="159" customWidth="1"/>
    <col min="4878" max="4878" width="25.75" style="159" customWidth="1"/>
    <col min="4879" max="4879" width="9" style="159"/>
    <col min="4880" max="4880" width="9.125" style="159" customWidth="1"/>
    <col min="4881" max="5120" width="9" style="159"/>
    <col min="5121" max="5121" width="16.25" style="159" customWidth="1"/>
    <col min="5122" max="5123" width="12.5" style="159" customWidth="1"/>
    <col min="5124" max="5124" width="11" style="159" customWidth="1"/>
    <col min="5125" max="5125" width="9.875" style="159" customWidth="1"/>
    <col min="5126" max="5126" width="11.75" style="159" customWidth="1"/>
    <col min="5127" max="5133" width="11" style="159" customWidth="1"/>
    <col min="5134" max="5134" width="25.75" style="159" customWidth="1"/>
    <col min="5135" max="5135" width="9" style="159"/>
    <col min="5136" max="5136" width="9.125" style="159" customWidth="1"/>
    <col min="5137" max="5376" width="9" style="159"/>
    <col min="5377" max="5377" width="16.25" style="159" customWidth="1"/>
    <col min="5378" max="5379" width="12.5" style="159" customWidth="1"/>
    <col min="5380" max="5380" width="11" style="159" customWidth="1"/>
    <col min="5381" max="5381" width="9.875" style="159" customWidth="1"/>
    <col min="5382" max="5382" width="11.75" style="159" customWidth="1"/>
    <col min="5383" max="5389" width="11" style="159" customWidth="1"/>
    <col min="5390" max="5390" width="25.75" style="159" customWidth="1"/>
    <col min="5391" max="5391" width="9" style="159"/>
    <col min="5392" max="5392" width="9.125" style="159" customWidth="1"/>
    <col min="5393" max="5632" width="9" style="159"/>
    <col min="5633" max="5633" width="16.25" style="159" customWidth="1"/>
    <col min="5634" max="5635" width="12.5" style="159" customWidth="1"/>
    <col min="5636" max="5636" width="11" style="159" customWidth="1"/>
    <col min="5637" max="5637" width="9.875" style="159" customWidth="1"/>
    <col min="5638" max="5638" width="11.75" style="159" customWidth="1"/>
    <col min="5639" max="5645" width="11" style="159" customWidth="1"/>
    <col min="5646" max="5646" width="25.75" style="159" customWidth="1"/>
    <col min="5647" max="5647" width="9" style="159"/>
    <col min="5648" max="5648" width="9.125" style="159" customWidth="1"/>
    <col min="5649" max="5888" width="9" style="159"/>
    <col min="5889" max="5889" width="16.25" style="159" customWidth="1"/>
    <col min="5890" max="5891" width="12.5" style="159" customWidth="1"/>
    <col min="5892" max="5892" width="11" style="159" customWidth="1"/>
    <col min="5893" max="5893" width="9.875" style="159" customWidth="1"/>
    <col min="5894" max="5894" width="11.75" style="159" customWidth="1"/>
    <col min="5895" max="5901" width="11" style="159" customWidth="1"/>
    <col min="5902" max="5902" width="25.75" style="159" customWidth="1"/>
    <col min="5903" max="5903" width="9" style="159"/>
    <col min="5904" max="5904" width="9.125" style="159" customWidth="1"/>
    <col min="5905" max="6144" width="9" style="159"/>
    <col min="6145" max="6145" width="16.25" style="159" customWidth="1"/>
    <col min="6146" max="6147" width="12.5" style="159" customWidth="1"/>
    <col min="6148" max="6148" width="11" style="159" customWidth="1"/>
    <col min="6149" max="6149" width="9.875" style="159" customWidth="1"/>
    <col min="6150" max="6150" width="11.75" style="159" customWidth="1"/>
    <col min="6151" max="6157" width="11" style="159" customWidth="1"/>
    <col min="6158" max="6158" width="25.75" style="159" customWidth="1"/>
    <col min="6159" max="6159" width="9" style="159"/>
    <col min="6160" max="6160" width="9.125" style="159" customWidth="1"/>
    <col min="6161" max="6400" width="9" style="159"/>
    <col min="6401" max="6401" width="16.25" style="159" customWidth="1"/>
    <col min="6402" max="6403" width="12.5" style="159" customWidth="1"/>
    <col min="6404" max="6404" width="11" style="159" customWidth="1"/>
    <col min="6405" max="6405" width="9.875" style="159" customWidth="1"/>
    <col min="6406" max="6406" width="11.75" style="159" customWidth="1"/>
    <col min="6407" max="6413" width="11" style="159" customWidth="1"/>
    <col min="6414" max="6414" width="25.75" style="159" customWidth="1"/>
    <col min="6415" max="6415" width="9" style="159"/>
    <col min="6416" max="6416" width="9.125" style="159" customWidth="1"/>
    <col min="6417" max="6656" width="9" style="159"/>
    <col min="6657" max="6657" width="16.25" style="159" customWidth="1"/>
    <col min="6658" max="6659" width="12.5" style="159" customWidth="1"/>
    <col min="6660" max="6660" width="11" style="159" customWidth="1"/>
    <col min="6661" max="6661" width="9.875" style="159" customWidth="1"/>
    <col min="6662" max="6662" width="11.75" style="159" customWidth="1"/>
    <col min="6663" max="6669" width="11" style="159" customWidth="1"/>
    <col min="6670" max="6670" width="25.75" style="159" customWidth="1"/>
    <col min="6671" max="6671" width="9" style="159"/>
    <col min="6672" max="6672" width="9.125" style="159" customWidth="1"/>
    <col min="6673" max="6912" width="9" style="159"/>
    <col min="6913" max="6913" width="16.25" style="159" customWidth="1"/>
    <col min="6914" max="6915" width="12.5" style="159" customWidth="1"/>
    <col min="6916" max="6916" width="11" style="159" customWidth="1"/>
    <col min="6917" max="6917" width="9.875" style="159" customWidth="1"/>
    <col min="6918" max="6918" width="11.75" style="159" customWidth="1"/>
    <col min="6919" max="6925" width="11" style="159" customWidth="1"/>
    <col min="6926" max="6926" width="25.75" style="159" customWidth="1"/>
    <col min="6927" max="6927" width="9" style="159"/>
    <col min="6928" max="6928" width="9.125" style="159" customWidth="1"/>
    <col min="6929" max="7168" width="9" style="159"/>
    <col min="7169" max="7169" width="16.25" style="159" customWidth="1"/>
    <col min="7170" max="7171" width="12.5" style="159" customWidth="1"/>
    <col min="7172" max="7172" width="11" style="159" customWidth="1"/>
    <col min="7173" max="7173" width="9.875" style="159" customWidth="1"/>
    <col min="7174" max="7174" width="11.75" style="159" customWidth="1"/>
    <col min="7175" max="7181" width="11" style="159" customWidth="1"/>
    <col min="7182" max="7182" width="25.75" style="159" customWidth="1"/>
    <col min="7183" max="7183" width="9" style="159"/>
    <col min="7184" max="7184" width="9.125" style="159" customWidth="1"/>
    <col min="7185" max="7424" width="9" style="159"/>
    <col min="7425" max="7425" width="16.25" style="159" customWidth="1"/>
    <col min="7426" max="7427" width="12.5" style="159" customWidth="1"/>
    <col min="7428" max="7428" width="11" style="159" customWidth="1"/>
    <col min="7429" max="7429" width="9.875" style="159" customWidth="1"/>
    <col min="7430" max="7430" width="11.75" style="159" customWidth="1"/>
    <col min="7431" max="7437" width="11" style="159" customWidth="1"/>
    <col min="7438" max="7438" width="25.75" style="159" customWidth="1"/>
    <col min="7439" max="7439" width="9" style="159"/>
    <col min="7440" max="7440" width="9.125" style="159" customWidth="1"/>
    <col min="7441" max="7680" width="9" style="159"/>
    <col min="7681" max="7681" width="16.25" style="159" customWidth="1"/>
    <col min="7682" max="7683" width="12.5" style="159" customWidth="1"/>
    <col min="7684" max="7684" width="11" style="159" customWidth="1"/>
    <col min="7685" max="7685" width="9.875" style="159" customWidth="1"/>
    <col min="7686" max="7686" width="11.75" style="159" customWidth="1"/>
    <col min="7687" max="7693" width="11" style="159" customWidth="1"/>
    <col min="7694" max="7694" width="25.75" style="159" customWidth="1"/>
    <col min="7695" max="7695" width="9" style="159"/>
    <col min="7696" max="7696" width="9.125" style="159" customWidth="1"/>
    <col min="7697" max="7936" width="9" style="159"/>
    <col min="7937" max="7937" width="16.25" style="159" customWidth="1"/>
    <col min="7938" max="7939" width="12.5" style="159" customWidth="1"/>
    <col min="7940" max="7940" width="11" style="159" customWidth="1"/>
    <col min="7941" max="7941" width="9.875" style="159" customWidth="1"/>
    <col min="7942" max="7942" width="11.75" style="159" customWidth="1"/>
    <col min="7943" max="7949" width="11" style="159" customWidth="1"/>
    <col min="7950" max="7950" width="25.75" style="159" customWidth="1"/>
    <col min="7951" max="7951" width="9" style="159"/>
    <col min="7952" max="7952" width="9.125" style="159" customWidth="1"/>
    <col min="7953" max="8192" width="9" style="159"/>
    <col min="8193" max="8193" width="16.25" style="159" customWidth="1"/>
    <col min="8194" max="8195" width="12.5" style="159" customWidth="1"/>
    <col min="8196" max="8196" width="11" style="159" customWidth="1"/>
    <col min="8197" max="8197" width="9.875" style="159" customWidth="1"/>
    <col min="8198" max="8198" width="11.75" style="159" customWidth="1"/>
    <col min="8199" max="8205" width="11" style="159" customWidth="1"/>
    <col min="8206" max="8206" width="25.75" style="159" customWidth="1"/>
    <col min="8207" max="8207" width="9" style="159"/>
    <col min="8208" max="8208" width="9.125" style="159" customWidth="1"/>
    <col min="8209" max="8448" width="9" style="159"/>
    <col min="8449" max="8449" width="16.25" style="159" customWidth="1"/>
    <col min="8450" max="8451" width="12.5" style="159" customWidth="1"/>
    <col min="8452" max="8452" width="11" style="159" customWidth="1"/>
    <col min="8453" max="8453" width="9.875" style="159" customWidth="1"/>
    <col min="8454" max="8454" width="11.75" style="159" customWidth="1"/>
    <col min="8455" max="8461" width="11" style="159" customWidth="1"/>
    <col min="8462" max="8462" width="25.75" style="159" customWidth="1"/>
    <col min="8463" max="8463" width="9" style="159"/>
    <col min="8464" max="8464" width="9.125" style="159" customWidth="1"/>
    <col min="8465" max="8704" width="9" style="159"/>
    <col min="8705" max="8705" width="16.25" style="159" customWidth="1"/>
    <col min="8706" max="8707" width="12.5" style="159" customWidth="1"/>
    <col min="8708" max="8708" width="11" style="159" customWidth="1"/>
    <col min="8709" max="8709" width="9.875" style="159" customWidth="1"/>
    <col min="8710" max="8710" width="11.75" style="159" customWidth="1"/>
    <col min="8711" max="8717" width="11" style="159" customWidth="1"/>
    <col min="8718" max="8718" width="25.75" style="159" customWidth="1"/>
    <col min="8719" max="8719" width="9" style="159"/>
    <col min="8720" max="8720" width="9.125" style="159" customWidth="1"/>
    <col min="8721" max="8960" width="9" style="159"/>
    <col min="8961" max="8961" width="16.25" style="159" customWidth="1"/>
    <col min="8962" max="8963" width="12.5" style="159" customWidth="1"/>
    <col min="8964" max="8964" width="11" style="159" customWidth="1"/>
    <col min="8965" max="8965" width="9.875" style="159" customWidth="1"/>
    <col min="8966" max="8966" width="11.75" style="159" customWidth="1"/>
    <col min="8967" max="8973" width="11" style="159" customWidth="1"/>
    <col min="8974" max="8974" width="25.75" style="159" customWidth="1"/>
    <col min="8975" max="8975" width="9" style="159"/>
    <col min="8976" max="8976" width="9.125" style="159" customWidth="1"/>
    <col min="8977" max="9216" width="9" style="159"/>
    <col min="9217" max="9217" width="16.25" style="159" customWidth="1"/>
    <col min="9218" max="9219" width="12.5" style="159" customWidth="1"/>
    <col min="9220" max="9220" width="11" style="159" customWidth="1"/>
    <col min="9221" max="9221" width="9.875" style="159" customWidth="1"/>
    <col min="9222" max="9222" width="11.75" style="159" customWidth="1"/>
    <col min="9223" max="9229" width="11" style="159" customWidth="1"/>
    <col min="9230" max="9230" width="25.75" style="159" customWidth="1"/>
    <col min="9231" max="9231" width="9" style="159"/>
    <col min="9232" max="9232" width="9.125" style="159" customWidth="1"/>
    <col min="9233" max="9472" width="9" style="159"/>
    <col min="9473" max="9473" width="16.25" style="159" customWidth="1"/>
    <col min="9474" max="9475" width="12.5" style="159" customWidth="1"/>
    <col min="9476" max="9476" width="11" style="159" customWidth="1"/>
    <col min="9477" max="9477" width="9.875" style="159" customWidth="1"/>
    <col min="9478" max="9478" width="11.75" style="159" customWidth="1"/>
    <col min="9479" max="9485" width="11" style="159" customWidth="1"/>
    <col min="9486" max="9486" width="25.75" style="159" customWidth="1"/>
    <col min="9487" max="9487" width="9" style="159"/>
    <col min="9488" max="9488" width="9.125" style="159" customWidth="1"/>
    <col min="9489" max="9728" width="9" style="159"/>
    <col min="9729" max="9729" width="16.25" style="159" customWidth="1"/>
    <col min="9730" max="9731" width="12.5" style="159" customWidth="1"/>
    <col min="9732" max="9732" width="11" style="159" customWidth="1"/>
    <col min="9733" max="9733" width="9.875" style="159" customWidth="1"/>
    <col min="9734" max="9734" width="11.75" style="159" customWidth="1"/>
    <col min="9735" max="9741" width="11" style="159" customWidth="1"/>
    <col min="9742" max="9742" width="25.75" style="159" customWidth="1"/>
    <col min="9743" max="9743" width="9" style="159"/>
    <col min="9744" max="9744" width="9.125" style="159" customWidth="1"/>
    <col min="9745" max="9984" width="9" style="159"/>
    <col min="9985" max="9985" width="16.25" style="159" customWidth="1"/>
    <col min="9986" max="9987" width="12.5" style="159" customWidth="1"/>
    <col min="9988" max="9988" width="11" style="159" customWidth="1"/>
    <col min="9989" max="9989" width="9.875" style="159" customWidth="1"/>
    <col min="9990" max="9990" width="11.75" style="159" customWidth="1"/>
    <col min="9991" max="9997" width="11" style="159" customWidth="1"/>
    <col min="9998" max="9998" width="25.75" style="159" customWidth="1"/>
    <col min="9999" max="9999" width="9" style="159"/>
    <col min="10000" max="10000" width="9.125" style="159" customWidth="1"/>
    <col min="10001" max="10240" width="9" style="159"/>
    <col min="10241" max="10241" width="16.25" style="159" customWidth="1"/>
    <col min="10242" max="10243" width="12.5" style="159" customWidth="1"/>
    <col min="10244" max="10244" width="11" style="159" customWidth="1"/>
    <col min="10245" max="10245" width="9.875" style="159" customWidth="1"/>
    <col min="10246" max="10246" width="11.75" style="159" customWidth="1"/>
    <col min="10247" max="10253" width="11" style="159" customWidth="1"/>
    <col min="10254" max="10254" width="25.75" style="159" customWidth="1"/>
    <col min="10255" max="10255" width="9" style="159"/>
    <col min="10256" max="10256" width="9.125" style="159" customWidth="1"/>
    <col min="10257" max="10496" width="9" style="159"/>
    <col min="10497" max="10497" width="16.25" style="159" customWidth="1"/>
    <col min="10498" max="10499" width="12.5" style="159" customWidth="1"/>
    <col min="10500" max="10500" width="11" style="159" customWidth="1"/>
    <col min="10501" max="10501" width="9.875" style="159" customWidth="1"/>
    <col min="10502" max="10502" width="11.75" style="159" customWidth="1"/>
    <col min="10503" max="10509" width="11" style="159" customWidth="1"/>
    <col min="10510" max="10510" width="25.75" style="159" customWidth="1"/>
    <col min="10511" max="10511" width="9" style="159"/>
    <col min="10512" max="10512" width="9.125" style="159" customWidth="1"/>
    <col min="10513" max="10752" width="9" style="159"/>
    <col min="10753" max="10753" width="16.25" style="159" customWidth="1"/>
    <col min="10754" max="10755" width="12.5" style="159" customWidth="1"/>
    <col min="10756" max="10756" width="11" style="159" customWidth="1"/>
    <col min="10757" max="10757" width="9.875" style="159" customWidth="1"/>
    <col min="10758" max="10758" width="11.75" style="159" customWidth="1"/>
    <col min="10759" max="10765" width="11" style="159" customWidth="1"/>
    <col min="10766" max="10766" width="25.75" style="159" customWidth="1"/>
    <col min="10767" max="10767" width="9" style="159"/>
    <col min="10768" max="10768" width="9.125" style="159" customWidth="1"/>
    <col min="10769" max="11008" width="9" style="159"/>
    <col min="11009" max="11009" width="16.25" style="159" customWidth="1"/>
    <col min="11010" max="11011" width="12.5" style="159" customWidth="1"/>
    <col min="11012" max="11012" width="11" style="159" customWidth="1"/>
    <col min="11013" max="11013" width="9.875" style="159" customWidth="1"/>
    <col min="11014" max="11014" width="11.75" style="159" customWidth="1"/>
    <col min="11015" max="11021" width="11" style="159" customWidth="1"/>
    <col min="11022" max="11022" width="25.75" style="159" customWidth="1"/>
    <col min="11023" max="11023" width="9" style="159"/>
    <col min="11024" max="11024" width="9.125" style="159" customWidth="1"/>
    <col min="11025" max="11264" width="9" style="159"/>
    <col min="11265" max="11265" width="16.25" style="159" customWidth="1"/>
    <col min="11266" max="11267" width="12.5" style="159" customWidth="1"/>
    <col min="11268" max="11268" width="11" style="159" customWidth="1"/>
    <col min="11269" max="11269" width="9.875" style="159" customWidth="1"/>
    <col min="11270" max="11270" width="11.75" style="159" customWidth="1"/>
    <col min="11271" max="11277" width="11" style="159" customWidth="1"/>
    <col min="11278" max="11278" width="25.75" style="159" customWidth="1"/>
    <col min="11279" max="11279" width="9" style="159"/>
    <col min="11280" max="11280" width="9.125" style="159" customWidth="1"/>
    <col min="11281" max="11520" width="9" style="159"/>
    <col min="11521" max="11521" width="16.25" style="159" customWidth="1"/>
    <col min="11522" max="11523" width="12.5" style="159" customWidth="1"/>
    <col min="11524" max="11524" width="11" style="159" customWidth="1"/>
    <col min="11525" max="11525" width="9.875" style="159" customWidth="1"/>
    <col min="11526" max="11526" width="11.75" style="159" customWidth="1"/>
    <col min="11527" max="11533" width="11" style="159" customWidth="1"/>
    <col min="11534" max="11534" width="25.75" style="159" customWidth="1"/>
    <col min="11535" max="11535" width="9" style="159"/>
    <col min="11536" max="11536" width="9.125" style="159" customWidth="1"/>
    <col min="11537" max="11776" width="9" style="159"/>
    <col min="11777" max="11777" width="16.25" style="159" customWidth="1"/>
    <col min="11778" max="11779" width="12.5" style="159" customWidth="1"/>
    <col min="11780" max="11780" width="11" style="159" customWidth="1"/>
    <col min="11781" max="11781" width="9.875" style="159" customWidth="1"/>
    <col min="11782" max="11782" width="11.75" style="159" customWidth="1"/>
    <col min="11783" max="11789" width="11" style="159" customWidth="1"/>
    <col min="11790" max="11790" width="25.75" style="159" customWidth="1"/>
    <col min="11791" max="11791" width="9" style="159"/>
    <col min="11792" max="11792" width="9.125" style="159" customWidth="1"/>
    <col min="11793" max="12032" width="9" style="159"/>
    <col min="12033" max="12033" width="16.25" style="159" customWidth="1"/>
    <col min="12034" max="12035" width="12.5" style="159" customWidth="1"/>
    <col min="12036" max="12036" width="11" style="159" customWidth="1"/>
    <col min="12037" max="12037" width="9.875" style="159" customWidth="1"/>
    <col min="12038" max="12038" width="11.75" style="159" customWidth="1"/>
    <col min="12039" max="12045" width="11" style="159" customWidth="1"/>
    <col min="12046" max="12046" width="25.75" style="159" customWidth="1"/>
    <col min="12047" max="12047" width="9" style="159"/>
    <col min="12048" max="12048" width="9.125" style="159" customWidth="1"/>
    <col min="12049" max="12288" width="9" style="159"/>
    <col min="12289" max="12289" width="16.25" style="159" customWidth="1"/>
    <col min="12290" max="12291" width="12.5" style="159" customWidth="1"/>
    <col min="12292" max="12292" width="11" style="159" customWidth="1"/>
    <col min="12293" max="12293" width="9.875" style="159" customWidth="1"/>
    <col min="12294" max="12294" width="11.75" style="159" customWidth="1"/>
    <col min="12295" max="12301" width="11" style="159" customWidth="1"/>
    <col min="12302" max="12302" width="25.75" style="159" customWidth="1"/>
    <col min="12303" max="12303" width="9" style="159"/>
    <col min="12304" max="12304" width="9.125" style="159" customWidth="1"/>
    <col min="12305" max="12544" width="9" style="159"/>
    <col min="12545" max="12545" width="16.25" style="159" customWidth="1"/>
    <col min="12546" max="12547" width="12.5" style="159" customWidth="1"/>
    <col min="12548" max="12548" width="11" style="159" customWidth="1"/>
    <col min="12549" max="12549" width="9.875" style="159" customWidth="1"/>
    <col min="12550" max="12550" width="11.75" style="159" customWidth="1"/>
    <col min="12551" max="12557" width="11" style="159" customWidth="1"/>
    <col min="12558" max="12558" width="25.75" style="159" customWidth="1"/>
    <col min="12559" max="12559" width="9" style="159"/>
    <col min="12560" max="12560" width="9.125" style="159" customWidth="1"/>
    <col min="12561" max="12800" width="9" style="159"/>
    <col min="12801" max="12801" width="16.25" style="159" customWidth="1"/>
    <col min="12802" max="12803" width="12.5" style="159" customWidth="1"/>
    <col min="12804" max="12804" width="11" style="159" customWidth="1"/>
    <col min="12805" max="12805" width="9.875" style="159" customWidth="1"/>
    <col min="12806" max="12806" width="11.75" style="159" customWidth="1"/>
    <col min="12807" max="12813" width="11" style="159" customWidth="1"/>
    <col min="12814" max="12814" width="25.75" style="159" customWidth="1"/>
    <col min="12815" max="12815" width="9" style="159"/>
    <col min="12816" max="12816" width="9.125" style="159" customWidth="1"/>
    <col min="12817" max="13056" width="9" style="159"/>
    <col min="13057" max="13057" width="16.25" style="159" customWidth="1"/>
    <col min="13058" max="13059" width="12.5" style="159" customWidth="1"/>
    <col min="13060" max="13060" width="11" style="159" customWidth="1"/>
    <col min="13061" max="13061" width="9.875" style="159" customWidth="1"/>
    <col min="13062" max="13062" width="11.75" style="159" customWidth="1"/>
    <col min="13063" max="13069" width="11" style="159" customWidth="1"/>
    <col min="13070" max="13070" width="25.75" style="159" customWidth="1"/>
    <col min="13071" max="13071" width="9" style="159"/>
    <col min="13072" max="13072" width="9.125" style="159" customWidth="1"/>
    <col min="13073" max="13312" width="9" style="159"/>
    <col min="13313" max="13313" width="16.25" style="159" customWidth="1"/>
    <col min="13314" max="13315" width="12.5" style="159" customWidth="1"/>
    <col min="13316" max="13316" width="11" style="159" customWidth="1"/>
    <col min="13317" max="13317" width="9.875" style="159" customWidth="1"/>
    <col min="13318" max="13318" width="11.75" style="159" customWidth="1"/>
    <col min="13319" max="13325" width="11" style="159" customWidth="1"/>
    <col min="13326" max="13326" width="25.75" style="159" customWidth="1"/>
    <col min="13327" max="13327" width="9" style="159"/>
    <col min="13328" max="13328" width="9.125" style="159" customWidth="1"/>
    <col min="13329" max="13568" width="9" style="159"/>
    <col min="13569" max="13569" width="16.25" style="159" customWidth="1"/>
    <col min="13570" max="13571" width="12.5" style="159" customWidth="1"/>
    <col min="13572" max="13572" width="11" style="159" customWidth="1"/>
    <col min="13573" max="13573" width="9.875" style="159" customWidth="1"/>
    <col min="13574" max="13574" width="11.75" style="159" customWidth="1"/>
    <col min="13575" max="13581" width="11" style="159" customWidth="1"/>
    <col min="13582" max="13582" width="25.75" style="159" customWidth="1"/>
    <col min="13583" max="13583" width="9" style="159"/>
    <col min="13584" max="13584" width="9.125" style="159" customWidth="1"/>
    <col min="13585" max="13824" width="9" style="159"/>
    <col min="13825" max="13825" width="16.25" style="159" customWidth="1"/>
    <col min="13826" max="13827" width="12.5" style="159" customWidth="1"/>
    <col min="13828" max="13828" width="11" style="159" customWidth="1"/>
    <col min="13829" max="13829" width="9.875" style="159" customWidth="1"/>
    <col min="13830" max="13830" width="11.75" style="159" customWidth="1"/>
    <col min="13831" max="13837" width="11" style="159" customWidth="1"/>
    <col min="13838" max="13838" width="25.75" style="159" customWidth="1"/>
    <col min="13839" max="13839" width="9" style="159"/>
    <col min="13840" max="13840" width="9.125" style="159" customWidth="1"/>
    <col min="13841" max="14080" width="9" style="159"/>
    <col min="14081" max="14081" width="16.25" style="159" customWidth="1"/>
    <col min="14082" max="14083" width="12.5" style="159" customWidth="1"/>
    <col min="14084" max="14084" width="11" style="159" customWidth="1"/>
    <col min="14085" max="14085" width="9.875" style="159" customWidth="1"/>
    <col min="14086" max="14086" width="11.75" style="159" customWidth="1"/>
    <col min="14087" max="14093" width="11" style="159" customWidth="1"/>
    <col min="14094" max="14094" width="25.75" style="159" customWidth="1"/>
    <col min="14095" max="14095" width="9" style="159"/>
    <col min="14096" max="14096" width="9.125" style="159" customWidth="1"/>
    <col min="14097" max="14336" width="9" style="159"/>
    <col min="14337" max="14337" width="16.25" style="159" customWidth="1"/>
    <col min="14338" max="14339" width="12.5" style="159" customWidth="1"/>
    <col min="14340" max="14340" width="11" style="159" customWidth="1"/>
    <col min="14341" max="14341" width="9.875" style="159" customWidth="1"/>
    <col min="14342" max="14342" width="11.75" style="159" customWidth="1"/>
    <col min="14343" max="14349" width="11" style="159" customWidth="1"/>
    <col min="14350" max="14350" width="25.75" style="159" customWidth="1"/>
    <col min="14351" max="14351" width="9" style="159"/>
    <col min="14352" max="14352" width="9.125" style="159" customWidth="1"/>
    <col min="14353" max="14592" width="9" style="159"/>
    <col min="14593" max="14593" width="16.25" style="159" customWidth="1"/>
    <col min="14594" max="14595" width="12.5" style="159" customWidth="1"/>
    <col min="14596" max="14596" width="11" style="159" customWidth="1"/>
    <col min="14597" max="14597" width="9.875" style="159" customWidth="1"/>
    <col min="14598" max="14598" width="11.75" style="159" customWidth="1"/>
    <col min="14599" max="14605" width="11" style="159" customWidth="1"/>
    <col min="14606" max="14606" width="25.75" style="159" customWidth="1"/>
    <col min="14607" max="14607" width="9" style="159"/>
    <col min="14608" max="14608" width="9.125" style="159" customWidth="1"/>
    <col min="14609" max="14848" width="9" style="159"/>
    <col min="14849" max="14849" width="16.25" style="159" customWidth="1"/>
    <col min="14850" max="14851" width="12.5" style="159" customWidth="1"/>
    <col min="14852" max="14852" width="11" style="159" customWidth="1"/>
    <col min="14853" max="14853" width="9.875" style="159" customWidth="1"/>
    <col min="14854" max="14854" width="11.75" style="159" customWidth="1"/>
    <col min="14855" max="14861" width="11" style="159" customWidth="1"/>
    <col min="14862" max="14862" width="25.75" style="159" customWidth="1"/>
    <col min="14863" max="14863" width="9" style="159"/>
    <col min="14864" max="14864" width="9.125" style="159" customWidth="1"/>
    <col min="14865" max="15104" width="9" style="159"/>
    <col min="15105" max="15105" width="16.25" style="159" customWidth="1"/>
    <col min="15106" max="15107" width="12.5" style="159" customWidth="1"/>
    <col min="15108" max="15108" width="11" style="159" customWidth="1"/>
    <col min="15109" max="15109" width="9.875" style="159" customWidth="1"/>
    <col min="15110" max="15110" width="11.75" style="159" customWidth="1"/>
    <col min="15111" max="15117" width="11" style="159" customWidth="1"/>
    <col min="15118" max="15118" width="25.75" style="159" customWidth="1"/>
    <col min="15119" max="15119" width="9" style="159"/>
    <col min="15120" max="15120" width="9.125" style="159" customWidth="1"/>
    <col min="15121" max="15360" width="9" style="159"/>
    <col min="15361" max="15361" width="16.25" style="159" customWidth="1"/>
    <col min="15362" max="15363" width="12.5" style="159" customWidth="1"/>
    <col min="15364" max="15364" width="11" style="159" customWidth="1"/>
    <col min="15365" max="15365" width="9.875" style="159" customWidth="1"/>
    <col min="15366" max="15366" width="11.75" style="159" customWidth="1"/>
    <col min="15367" max="15373" width="11" style="159" customWidth="1"/>
    <col min="15374" max="15374" width="25.75" style="159" customWidth="1"/>
    <col min="15375" max="15375" width="9" style="159"/>
    <col min="15376" max="15376" width="9.125" style="159" customWidth="1"/>
    <col min="15377" max="15616" width="9" style="159"/>
    <col min="15617" max="15617" width="16.25" style="159" customWidth="1"/>
    <col min="15618" max="15619" width="12.5" style="159" customWidth="1"/>
    <col min="15620" max="15620" width="11" style="159" customWidth="1"/>
    <col min="15621" max="15621" width="9.875" style="159" customWidth="1"/>
    <col min="15622" max="15622" width="11.75" style="159" customWidth="1"/>
    <col min="15623" max="15629" width="11" style="159" customWidth="1"/>
    <col min="15630" max="15630" width="25.75" style="159" customWidth="1"/>
    <col min="15631" max="15631" width="9" style="159"/>
    <col min="15632" max="15632" width="9.125" style="159" customWidth="1"/>
    <col min="15633" max="15872" width="9" style="159"/>
    <col min="15873" max="15873" width="16.25" style="159" customWidth="1"/>
    <col min="15874" max="15875" width="12.5" style="159" customWidth="1"/>
    <col min="15876" max="15876" width="11" style="159" customWidth="1"/>
    <col min="15877" max="15877" width="9.875" style="159" customWidth="1"/>
    <col min="15878" max="15878" width="11.75" style="159" customWidth="1"/>
    <col min="15879" max="15885" width="11" style="159" customWidth="1"/>
    <col min="15886" max="15886" width="25.75" style="159" customWidth="1"/>
    <col min="15887" max="15887" width="9" style="159"/>
    <col min="15888" max="15888" width="9.125" style="159" customWidth="1"/>
    <col min="15889" max="16128" width="9" style="159"/>
    <col min="16129" max="16129" width="16.25" style="159" customWidth="1"/>
    <col min="16130" max="16131" width="12.5" style="159" customWidth="1"/>
    <col min="16132" max="16132" width="11" style="159" customWidth="1"/>
    <col min="16133" max="16133" width="9.875" style="159" customWidth="1"/>
    <col min="16134" max="16134" width="11.75" style="159" customWidth="1"/>
    <col min="16135" max="16141" width="11" style="159" customWidth="1"/>
    <col min="16142" max="16142" width="25.75" style="159" customWidth="1"/>
    <col min="16143" max="16143" width="9" style="159"/>
    <col min="16144" max="16144" width="9.125" style="159" customWidth="1"/>
    <col min="16145" max="16384" width="9" style="159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15" t="s">
        <v>365</v>
      </c>
    </row>
    <row r="3" s="123" customFormat="1" ht="15" customHeight="1" spans="1:15">
      <c r="A3" s="123" t="str">
        <f>'G-高新'!A3</f>
        <v>编制期间：2020年4月</v>
      </c>
      <c r="G3" s="124" t="s">
        <v>361</v>
      </c>
      <c r="H3" s="124"/>
      <c r="I3" s="124"/>
      <c r="N3" s="136"/>
      <c r="O3" s="136"/>
    </row>
    <row r="4" s="15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163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163"/>
      <c r="D7" s="21"/>
      <c r="E7" s="21">
        <v>-51.09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-51.09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163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163">
        <v>220</v>
      </c>
      <c r="D9" s="21">
        <v>1320</v>
      </c>
      <c r="E9" s="21">
        <v>-230</v>
      </c>
      <c r="F9" s="21">
        <v>68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1378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163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163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163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220</v>
      </c>
      <c r="D13" s="58">
        <f t="shared" ref="D13:N13" si="1">SUM(D6:D12)</f>
        <v>1320</v>
      </c>
      <c r="E13" s="58">
        <f t="shared" si="1"/>
        <v>-281.09</v>
      </c>
      <c r="F13" s="58">
        <f t="shared" si="1"/>
        <v>68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1326.91</v>
      </c>
      <c r="P13" s="156"/>
      <c r="Q13" s="156"/>
      <c r="R13" s="156"/>
      <c r="S13" s="156"/>
      <c r="T13" s="156"/>
      <c r="U13" s="156"/>
      <c r="V13" s="156"/>
    </row>
    <row r="14" spans="4:22">
      <c r="D14" s="154"/>
      <c r="E14" s="154"/>
      <c r="F14" s="154"/>
      <c r="G14" s="160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spans="1:22">
      <c r="A15" s="132" t="s">
        <v>363</v>
      </c>
      <c r="B15" s="132"/>
      <c r="C15" s="132"/>
      <c r="D15" s="161"/>
      <c r="E15" s="161"/>
      <c r="F15" s="161"/>
      <c r="G15" s="160"/>
      <c r="H15" s="154"/>
      <c r="I15" s="161"/>
      <c r="J15" s="161"/>
      <c r="K15" s="161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/>
      <c r="E16" s="154"/>
      <c r="F16" s="154"/>
      <c r="G16" s="160"/>
      <c r="H16" s="154"/>
      <c r="I16" s="154"/>
      <c r="J16" s="154"/>
      <c r="K16" s="154"/>
      <c r="L16" s="154"/>
      <c r="M16" s="154"/>
      <c r="N16" s="154"/>
      <c r="O16" s="154">
        <f>O15-O13</f>
        <v>-1326.91</v>
      </c>
      <c r="P16" s="154"/>
      <c r="Q16" s="154"/>
      <c r="R16" s="154"/>
      <c r="S16" s="154"/>
      <c r="T16" s="154"/>
      <c r="U16" s="154"/>
      <c r="V16" s="154"/>
    </row>
    <row r="17" s="158" customFormat="1" spans="4:22"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</row>
    <row r="18" spans="4:22">
      <c r="D18" s="154"/>
      <c r="E18" s="154"/>
      <c r="F18" s="154"/>
      <c r="G18" s="160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</row>
    <row r="19" spans="7:7">
      <c r="G19" s="162"/>
    </row>
    <row r="20" spans="7:7">
      <c r="G20" s="162"/>
    </row>
    <row r="21" spans="7:7">
      <c r="G21" s="162"/>
    </row>
    <row r="22" spans="7:7">
      <c r="G22" s="162"/>
    </row>
    <row r="23" spans="7:7">
      <c r="G23" s="162"/>
    </row>
    <row r="24" spans="7:7">
      <c r="G24" s="162"/>
    </row>
    <row r="25" spans="7:7">
      <c r="G25" s="162"/>
    </row>
    <row r="26" spans="7:7">
      <c r="G26" s="162"/>
    </row>
    <row r="27" spans="7:7">
      <c r="G27" s="162"/>
    </row>
    <row r="28" spans="7:7">
      <c r="G28" s="162"/>
    </row>
    <row r="29" spans="7:7">
      <c r="G29" s="162"/>
    </row>
    <row r="30" spans="7:7">
      <c r="G30" s="162"/>
    </row>
    <row r="31" spans="7:7">
      <c r="G31" s="162"/>
    </row>
    <row r="32" spans="7:7">
      <c r="G32" s="162"/>
    </row>
    <row r="33" spans="7:7">
      <c r="G33" s="162"/>
    </row>
    <row r="34" spans="7:7">
      <c r="G34" s="162"/>
    </row>
    <row r="35" spans="7:7">
      <c r="G35" s="162"/>
    </row>
    <row r="36" spans="7:7">
      <c r="G36" s="162"/>
    </row>
    <row r="37" spans="7:7">
      <c r="G37" s="162"/>
    </row>
    <row r="38" spans="7:7">
      <c r="G38" s="162"/>
    </row>
    <row r="39" spans="7:7">
      <c r="G39" s="162"/>
    </row>
    <row r="40" spans="7:7">
      <c r="G40" s="162"/>
    </row>
    <row r="41" spans="7:7">
      <c r="G41" s="162"/>
    </row>
    <row r="42" spans="7:7">
      <c r="G42" s="162"/>
    </row>
    <row r="43" spans="7:7">
      <c r="G43" s="162"/>
    </row>
    <row r="44" spans="7:7">
      <c r="G44" s="162"/>
    </row>
    <row r="45" spans="7:7">
      <c r="G45" s="162"/>
    </row>
    <row r="46" spans="7:7">
      <c r="G46" s="162"/>
    </row>
    <row r="47" spans="7:7">
      <c r="G47" s="162"/>
    </row>
    <row r="48" spans="7:7">
      <c r="G48" s="162"/>
    </row>
    <row r="49" spans="7:7">
      <c r="G49" s="162"/>
    </row>
    <row r="50" spans="7:7">
      <c r="G50" s="162"/>
    </row>
    <row r="51" spans="7:7">
      <c r="G51" s="162"/>
    </row>
    <row r="52" spans="7:7">
      <c r="G52" s="162"/>
    </row>
    <row r="53" spans="7:7">
      <c r="G53" s="162"/>
    </row>
    <row r="54" spans="7:7">
      <c r="G54" s="162"/>
    </row>
    <row r="55" spans="7:7">
      <c r="G55" s="162"/>
    </row>
    <row r="56" spans="7:7">
      <c r="G56" s="162"/>
    </row>
    <row r="57" spans="7:7">
      <c r="G57" s="162"/>
    </row>
    <row r="58" spans="7:7">
      <c r="G58" s="162"/>
    </row>
    <row r="59" spans="7:7">
      <c r="G59" s="162"/>
    </row>
    <row r="60" spans="7:7">
      <c r="G60" s="162"/>
    </row>
    <row r="61" spans="7:7">
      <c r="G61" s="162"/>
    </row>
    <row r="62" spans="7:7">
      <c r="G62" s="162"/>
    </row>
    <row r="63" spans="7:7">
      <c r="G63" s="162"/>
    </row>
    <row r="64" spans="7:7">
      <c r="G64" s="162"/>
    </row>
    <row r="65" spans="7:7">
      <c r="G65" s="162"/>
    </row>
    <row r="66" spans="7:7">
      <c r="G66" s="162"/>
    </row>
    <row r="67" spans="7:7">
      <c r="G67" s="162"/>
    </row>
    <row r="68" spans="7:7">
      <c r="G68" s="162"/>
    </row>
    <row r="69" spans="7:7">
      <c r="G69" s="162"/>
    </row>
    <row r="70" spans="7:7">
      <c r="G70" s="162"/>
    </row>
    <row r="71" spans="7:7">
      <c r="G71" s="162"/>
    </row>
    <row r="72" spans="7:7">
      <c r="G72" s="162"/>
    </row>
    <row r="73" spans="7:7">
      <c r="G73" s="162"/>
    </row>
    <row r="74" spans="7:7">
      <c r="G74" s="162"/>
    </row>
    <row r="75" spans="7:7">
      <c r="G75" s="162"/>
    </row>
    <row r="76" spans="7:7">
      <c r="G76" s="162"/>
    </row>
    <row r="77" spans="7:7">
      <c r="G77" s="162"/>
    </row>
    <row r="78" spans="7:7">
      <c r="G78" s="162"/>
    </row>
    <row r="79" spans="7:7">
      <c r="G79" s="162"/>
    </row>
    <row r="80" spans="7:7">
      <c r="G80" s="162"/>
    </row>
    <row r="81" spans="7:7">
      <c r="G81" s="162"/>
    </row>
    <row r="82" spans="7:7">
      <c r="G82" s="162"/>
    </row>
    <row r="83" spans="7:7">
      <c r="G83" s="162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A15:IV15 O14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83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E19" sqref="E19"/>
    </sheetView>
  </sheetViews>
  <sheetFormatPr defaultColWidth="9" defaultRowHeight="12.75"/>
  <cols>
    <col min="1" max="1" width="16.25" style="159" customWidth="1"/>
    <col min="2" max="2" width="12.5" style="159" customWidth="1"/>
    <col min="3" max="14" width="14.25" style="159" customWidth="1"/>
    <col min="15" max="15" width="18.375" style="159" customWidth="1"/>
    <col min="16" max="16" width="9.125" style="159" customWidth="1"/>
    <col min="17" max="256" width="9" style="159"/>
    <col min="257" max="257" width="16.25" style="159" customWidth="1"/>
    <col min="258" max="259" width="12.5" style="159" customWidth="1"/>
    <col min="260" max="260" width="11" style="159" customWidth="1"/>
    <col min="261" max="261" width="9.875" style="159" customWidth="1"/>
    <col min="262" max="262" width="11.75" style="159" customWidth="1"/>
    <col min="263" max="269" width="11" style="159" customWidth="1"/>
    <col min="270" max="270" width="25.75" style="159" customWidth="1"/>
    <col min="271" max="271" width="9" style="159"/>
    <col min="272" max="272" width="9.125" style="159" customWidth="1"/>
    <col min="273" max="512" width="9" style="159"/>
    <col min="513" max="513" width="16.25" style="159" customWidth="1"/>
    <col min="514" max="515" width="12.5" style="159" customWidth="1"/>
    <col min="516" max="516" width="11" style="159" customWidth="1"/>
    <col min="517" max="517" width="9.875" style="159" customWidth="1"/>
    <col min="518" max="518" width="11.75" style="159" customWidth="1"/>
    <col min="519" max="525" width="11" style="159" customWidth="1"/>
    <col min="526" max="526" width="25.75" style="159" customWidth="1"/>
    <col min="527" max="527" width="9" style="159"/>
    <col min="528" max="528" width="9.125" style="159" customWidth="1"/>
    <col min="529" max="768" width="9" style="159"/>
    <col min="769" max="769" width="16.25" style="159" customWidth="1"/>
    <col min="770" max="771" width="12.5" style="159" customWidth="1"/>
    <col min="772" max="772" width="11" style="159" customWidth="1"/>
    <col min="773" max="773" width="9.875" style="159" customWidth="1"/>
    <col min="774" max="774" width="11.75" style="159" customWidth="1"/>
    <col min="775" max="781" width="11" style="159" customWidth="1"/>
    <col min="782" max="782" width="25.75" style="159" customWidth="1"/>
    <col min="783" max="783" width="9" style="159"/>
    <col min="784" max="784" width="9.125" style="159" customWidth="1"/>
    <col min="785" max="1024" width="9" style="159"/>
    <col min="1025" max="1025" width="16.25" style="159" customWidth="1"/>
    <col min="1026" max="1027" width="12.5" style="159" customWidth="1"/>
    <col min="1028" max="1028" width="11" style="159" customWidth="1"/>
    <col min="1029" max="1029" width="9.875" style="159" customWidth="1"/>
    <col min="1030" max="1030" width="11.75" style="159" customWidth="1"/>
    <col min="1031" max="1037" width="11" style="159" customWidth="1"/>
    <col min="1038" max="1038" width="25.75" style="159" customWidth="1"/>
    <col min="1039" max="1039" width="9" style="159"/>
    <col min="1040" max="1040" width="9.125" style="159" customWidth="1"/>
    <col min="1041" max="1280" width="9" style="159"/>
    <col min="1281" max="1281" width="16.25" style="159" customWidth="1"/>
    <col min="1282" max="1283" width="12.5" style="159" customWidth="1"/>
    <col min="1284" max="1284" width="11" style="159" customWidth="1"/>
    <col min="1285" max="1285" width="9.875" style="159" customWidth="1"/>
    <col min="1286" max="1286" width="11.75" style="159" customWidth="1"/>
    <col min="1287" max="1293" width="11" style="159" customWidth="1"/>
    <col min="1294" max="1294" width="25.75" style="159" customWidth="1"/>
    <col min="1295" max="1295" width="9" style="159"/>
    <col min="1296" max="1296" width="9.125" style="159" customWidth="1"/>
    <col min="1297" max="1536" width="9" style="159"/>
    <col min="1537" max="1537" width="16.25" style="159" customWidth="1"/>
    <col min="1538" max="1539" width="12.5" style="159" customWidth="1"/>
    <col min="1540" max="1540" width="11" style="159" customWidth="1"/>
    <col min="1541" max="1541" width="9.875" style="159" customWidth="1"/>
    <col min="1542" max="1542" width="11.75" style="159" customWidth="1"/>
    <col min="1543" max="1549" width="11" style="159" customWidth="1"/>
    <col min="1550" max="1550" width="25.75" style="159" customWidth="1"/>
    <col min="1551" max="1551" width="9" style="159"/>
    <col min="1552" max="1552" width="9.125" style="159" customWidth="1"/>
    <col min="1553" max="1792" width="9" style="159"/>
    <col min="1793" max="1793" width="16.25" style="159" customWidth="1"/>
    <col min="1794" max="1795" width="12.5" style="159" customWidth="1"/>
    <col min="1796" max="1796" width="11" style="159" customWidth="1"/>
    <col min="1797" max="1797" width="9.875" style="159" customWidth="1"/>
    <col min="1798" max="1798" width="11.75" style="159" customWidth="1"/>
    <col min="1799" max="1805" width="11" style="159" customWidth="1"/>
    <col min="1806" max="1806" width="25.75" style="159" customWidth="1"/>
    <col min="1807" max="1807" width="9" style="159"/>
    <col min="1808" max="1808" width="9.125" style="159" customWidth="1"/>
    <col min="1809" max="2048" width="9" style="159"/>
    <col min="2049" max="2049" width="16.25" style="159" customWidth="1"/>
    <col min="2050" max="2051" width="12.5" style="159" customWidth="1"/>
    <col min="2052" max="2052" width="11" style="159" customWidth="1"/>
    <col min="2053" max="2053" width="9.875" style="159" customWidth="1"/>
    <col min="2054" max="2054" width="11.75" style="159" customWidth="1"/>
    <col min="2055" max="2061" width="11" style="159" customWidth="1"/>
    <col min="2062" max="2062" width="25.75" style="159" customWidth="1"/>
    <col min="2063" max="2063" width="9" style="159"/>
    <col min="2064" max="2064" width="9.125" style="159" customWidth="1"/>
    <col min="2065" max="2304" width="9" style="159"/>
    <col min="2305" max="2305" width="16.25" style="159" customWidth="1"/>
    <col min="2306" max="2307" width="12.5" style="159" customWidth="1"/>
    <col min="2308" max="2308" width="11" style="159" customWidth="1"/>
    <col min="2309" max="2309" width="9.875" style="159" customWidth="1"/>
    <col min="2310" max="2310" width="11.75" style="159" customWidth="1"/>
    <col min="2311" max="2317" width="11" style="159" customWidth="1"/>
    <col min="2318" max="2318" width="25.75" style="159" customWidth="1"/>
    <col min="2319" max="2319" width="9" style="159"/>
    <col min="2320" max="2320" width="9.125" style="159" customWidth="1"/>
    <col min="2321" max="2560" width="9" style="159"/>
    <col min="2561" max="2561" width="16.25" style="159" customWidth="1"/>
    <col min="2562" max="2563" width="12.5" style="159" customWidth="1"/>
    <col min="2564" max="2564" width="11" style="159" customWidth="1"/>
    <col min="2565" max="2565" width="9.875" style="159" customWidth="1"/>
    <col min="2566" max="2566" width="11.75" style="159" customWidth="1"/>
    <col min="2567" max="2573" width="11" style="159" customWidth="1"/>
    <col min="2574" max="2574" width="25.75" style="159" customWidth="1"/>
    <col min="2575" max="2575" width="9" style="159"/>
    <col min="2576" max="2576" width="9.125" style="159" customWidth="1"/>
    <col min="2577" max="2816" width="9" style="159"/>
    <col min="2817" max="2817" width="16.25" style="159" customWidth="1"/>
    <col min="2818" max="2819" width="12.5" style="159" customWidth="1"/>
    <col min="2820" max="2820" width="11" style="159" customWidth="1"/>
    <col min="2821" max="2821" width="9.875" style="159" customWidth="1"/>
    <col min="2822" max="2822" width="11.75" style="159" customWidth="1"/>
    <col min="2823" max="2829" width="11" style="159" customWidth="1"/>
    <col min="2830" max="2830" width="25.75" style="159" customWidth="1"/>
    <col min="2831" max="2831" width="9" style="159"/>
    <col min="2832" max="2832" width="9.125" style="159" customWidth="1"/>
    <col min="2833" max="3072" width="9" style="159"/>
    <col min="3073" max="3073" width="16.25" style="159" customWidth="1"/>
    <col min="3074" max="3075" width="12.5" style="159" customWidth="1"/>
    <col min="3076" max="3076" width="11" style="159" customWidth="1"/>
    <col min="3077" max="3077" width="9.875" style="159" customWidth="1"/>
    <col min="3078" max="3078" width="11.75" style="159" customWidth="1"/>
    <col min="3079" max="3085" width="11" style="159" customWidth="1"/>
    <col min="3086" max="3086" width="25.75" style="159" customWidth="1"/>
    <col min="3087" max="3087" width="9" style="159"/>
    <col min="3088" max="3088" width="9.125" style="159" customWidth="1"/>
    <col min="3089" max="3328" width="9" style="159"/>
    <col min="3329" max="3329" width="16.25" style="159" customWidth="1"/>
    <col min="3330" max="3331" width="12.5" style="159" customWidth="1"/>
    <col min="3332" max="3332" width="11" style="159" customWidth="1"/>
    <col min="3333" max="3333" width="9.875" style="159" customWidth="1"/>
    <col min="3334" max="3334" width="11.75" style="159" customWidth="1"/>
    <col min="3335" max="3341" width="11" style="159" customWidth="1"/>
    <col min="3342" max="3342" width="25.75" style="159" customWidth="1"/>
    <col min="3343" max="3343" width="9" style="159"/>
    <col min="3344" max="3344" width="9.125" style="159" customWidth="1"/>
    <col min="3345" max="3584" width="9" style="159"/>
    <col min="3585" max="3585" width="16.25" style="159" customWidth="1"/>
    <col min="3586" max="3587" width="12.5" style="159" customWidth="1"/>
    <col min="3588" max="3588" width="11" style="159" customWidth="1"/>
    <col min="3589" max="3589" width="9.875" style="159" customWidth="1"/>
    <col min="3590" max="3590" width="11.75" style="159" customWidth="1"/>
    <col min="3591" max="3597" width="11" style="159" customWidth="1"/>
    <col min="3598" max="3598" width="25.75" style="159" customWidth="1"/>
    <col min="3599" max="3599" width="9" style="159"/>
    <col min="3600" max="3600" width="9.125" style="159" customWidth="1"/>
    <col min="3601" max="3840" width="9" style="159"/>
    <col min="3841" max="3841" width="16.25" style="159" customWidth="1"/>
    <col min="3842" max="3843" width="12.5" style="159" customWidth="1"/>
    <col min="3844" max="3844" width="11" style="159" customWidth="1"/>
    <col min="3845" max="3845" width="9.875" style="159" customWidth="1"/>
    <col min="3846" max="3846" width="11.75" style="159" customWidth="1"/>
    <col min="3847" max="3853" width="11" style="159" customWidth="1"/>
    <col min="3854" max="3854" width="25.75" style="159" customWidth="1"/>
    <col min="3855" max="3855" width="9" style="159"/>
    <col min="3856" max="3856" width="9.125" style="159" customWidth="1"/>
    <col min="3857" max="4096" width="9" style="159"/>
    <col min="4097" max="4097" width="16.25" style="159" customWidth="1"/>
    <col min="4098" max="4099" width="12.5" style="159" customWidth="1"/>
    <col min="4100" max="4100" width="11" style="159" customWidth="1"/>
    <col min="4101" max="4101" width="9.875" style="159" customWidth="1"/>
    <col min="4102" max="4102" width="11.75" style="159" customWidth="1"/>
    <col min="4103" max="4109" width="11" style="159" customWidth="1"/>
    <col min="4110" max="4110" width="25.75" style="159" customWidth="1"/>
    <col min="4111" max="4111" width="9" style="159"/>
    <col min="4112" max="4112" width="9.125" style="159" customWidth="1"/>
    <col min="4113" max="4352" width="9" style="159"/>
    <col min="4353" max="4353" width="16.25" style="159" customWidth="1"/>
    <col min="4354" max="4355" width="12.5" style="159" customWidth="1"/>
    <col min="4356" max="4356" width="11" style="159" customWidth="1"/>
    <col min="4357" max="4357" width="9.875" style="159" customWidth="1"/>
    <col min="4358" max="4358" width="11.75" style="159" customWidth="1"/>
    <col min="4359" max="4365" width="11" style="159" customWidth="1"/>
    <col min="4366" max="4366" width="25.75" style="159" customWidth="1"/>
    <col min="4367" max="4367" width="9" style="159"/>
    <col min="4368" max="4368" width="9.125" style="159" customWidth="1"/>
    <col min="4369" max="4608" width="9" style="159"/>
    <col min="4609" max="4609" width="16.25" style="159" customWidth="1"/>
    <col min="4610" max="4611" width="12.5" style="159" customWidth="1"/>
    <col min="4612" max="4612" width="11" style="159" customWidth="1"/>
    <col min="4613" max="4613" width="9.875" style="159" customWidth="1"/>
    <col min="4614" max="4614" width="11.75" style="159" customWidth="1"/>
    <col min="4615" max="4621" width="11" style="159" customWidth="1"/>
    <col min="4622" max="4622" width="25.75" style="159" customWidth="1"/>
    <col min="4623" max="4623" width="9" style="159"/>
    <col min="4624" max="4624" width="9.125" style="159" customWidth="1"/>
    <col min="4625" max="4864" width="9" style="159"/>
    <col min="4865" max="4865" width="16.25" style="159" customWidth="1"/>
    <col min="4866" max="4867" width="12.5" style="159" customWidth="1"/>
    <col min="4868" max="4868" width="11" style="159" customWidth="1"/>
    <col min="4869" max="4869" width="9.875" style="159" customWidth="1"/>
    <col min="4870" max="4870" width="11.75" style="159" customWidth="1"/>
    <col min="4871" max="4877" width="11" style="159" customWidth="1"/>
    <col min="4878" max="4878" width="25.75" style="159" customWidth="1"/>
    <col min="4879" max="4879" width="9" style="159"/>
    <col min="4880" max="4880" width="9.125" style="159" customWidth="1"/>
    <col min="4881" max="5120" width="9" style="159"/>
    <col min="5121" max="5121" width="16.25" style="159" customWidth="1"/>
    <col min="5122" max="5123" width="12.5" style="159" customWidth="1"/>
    <col min="5124" max="5124" width="11" style="159" customWidth="1"/>
    <col min="5125" max="5125" width="9.875" style="159" customWidth="1"/>
    <col min="5126" max="5126" width="11.75" style="159" customWidth="1"/>
    <col min="5127" max="5133" width="11" style="159" customWidth="1"/>
    <col min="5134" max="5134" width="25.75" style="159" customWidth="1"/>
    <col min="5135" max="5135" width="9" style="159"/>
    <col min="5136" max="5136" width="9.125" style="159" customWidth="1"/>
    <col min="5137" max="5376" width="9" style="159"/>
    <col min="5377" max="5377" width="16.25" style="159" customWidth="1"/>
    <col min="5378" max="5379" width="12.5" style="159" customWidth="1"/>
    <col min="5380" max="5380" width="11" style="159" customWidth="1"/>
    <col min="5381" max="5381" width="9.875" style="159" customWidth="1"/>
    <col min="5382" max="5382" width="11.75" style="159" customWidth="1"/>
    <col min="5383" max="5389" width="11" style="159" customWidth="1"/>
    <col min="5390" max="5390" width="25.75" style="159" customWidth="1"/>
    <col min="5391" max="5391" width="9" style="159"/>
    <col min="5392" max="5392" width="9.125" style="159" customWidth="1"/>
    <col min="5393" max="5632" width="9" style="159"/>
    <col min="5633" max="5633" width="16.25" style="159" customWidth="1"/>
    <col min="5634" max="5635" width="12.5" style="159" customWidth="1"/>
    <col min="5636" max="5636" width="11" style="159" customWidth="1"/>
    <col min="5637" max="5637" width="9.875" style="159" customWidth="1"/>
    <col min="5638" max="5638" width="11.75" style="159" customWidth="1"/>
    <col min="5639" max="5645" width="11" style="159" customWidth="1"/>
    <col min="5646" max="5646" width="25.75" style="159" customWidth="1"/>
    <col min="5647" max="5647" width="9" style="159"/>
    <col min="5648" max="5648" width="9.125" style="159" customWidth="1"/>
    <col min="5649" max="5888" width="9" style="159"/>
    <col min="5889" max="5889" width="16.25" style="159" customWidth="1"/>
    <col min="5890" max="5891" width="12.5" style="159" customWidth="1"/>
    <col min="5892" max="5892" width="11" style="159" customWidth="1"/>
    <col min="5893" max="5893" width="9.875" style="159" customWidth="1"/>
    <col min="5894" max="5894" width="11.75" style="159" customWidth="1"/>
    <col min="5895" max="5901" width="11" style="159" customWidth="1"/>
    <col min="5902" max="5902" width="25.75" style="159" customWidth="1"/>
    <col min="5903" max="5903" width="9" style="159"/>
    <col min="5904" max="5904" width="9.125" style="159" customWidth="1"/>
    <col min="5905" max="6144" width="9" style="159"/>
    <col min="6145" max="6145" width="16.25" style="159" customWidth="1"/>
    <col min="6146" max="6147" width="12.5" style="159" customWidth="1"/>
    <col min="6148" max="6148" width="11" style="159" customWidth="1"/>
    <col min="6149" max="6149" width="9.875" style="159" customWidth="1"/>
    <col min="6150" max="6150" width="11.75" style="159" customWidth="1"/>
    <col min="6151" max="6157" width="11" style="159" customWidth="1"/>
    <col min="6158" max="6158" width="25.75" style="159" customWidth="1"/>
    <col min="6159" max="6159" width="9" style="159"/>
    <col min="6160" max="6160" width="9.125" style="159" customWidth="1"/>
    <col min="6161" max="6400" width="9" style="159"/>
    <col min="6401" max="6401" width="16.25" style="159" customWidth="1"/>
    <col min="6402" max="6403" width="12.5" style="159" customWidth="1"/>
    <col min="6404" max="6404" width="11" style="159" customWidth="1"/>
    <col min="6405" max="6405" width="9.875" style="159" customWidth="1"/>
    <col min="6406" max="6406" width="11.75" style="159" customWidth="1"/>
    <col min="6407" max="6413" width="11" style="159" customWidth="1"/>
    <col min="6414" max="6414" width="25.75" style="159" customWidth="1"/>
    <col min="6415" max="6415" width="9" style="159"/>
    <col min="6416" max="6416" width="9.125" style="159" customWidth="1"/>
    <col min="6417" max="6656" width="9" style="159"/>
    <col min="6657" max="6657" width="16.25" style="159" customWidth="1"/>
    <col min="6658" max="6659" width="12.5" style="159" customWidth="1"/>
    <col min="6660" max="6660" width="11" style="159" customWidth="1"/>
    <col min="6661" max="6661" width="9.875" style="159" customWidth="1"/>
    <col min="6662" max="6662" width="11.75" style="159" customWidth="1"/>
    <col min="6663" max="6669" width="11" style="159" customWidth="1"/>
    <col min="6670" max="6670" width="25.75" style="159" customWidth="1"/>
    <col min="6671" max="6671" width="9" style="159"/>
    <col min="6672" max="6672" width="9.125" style="159" customWidth="1"/>
    <col min="6673" max="6912" width="9" style="159"/>
    <col min="6913" max="6913" width="16.25" style="159" customWidth="1"/>
    <col min="6914" max="6915" width="12.5" style="159" customWidth="1"/>
    <col min="6916" max="6916" width="11" style="159" customWidth="1"/>
    <col min="6917" max="6917" width="9.875" style="159" customWidth="1"/>
    <col min="6918" max="6918" width="11.75" style="159" customWidth="1"/>
    <col min="6919" max="6925" width="11" style="159" customWidth="1"/>
    <col min="6926" max="6926" width="25.75" style="159" customWidth="1"/>
    <col min="6927" max="6927" width="9" style="159"/>
    <col min="6928" max="6928" width="9.125" style="159" customWidth="1"/>
    <col min="6929" max="7168" width="9" style="159"/>
    <col min="7169" max="7169" width="16.25" style="159" customWidth="1"/>
    <col min="7170" max="7171" width="12.5" style="159" customWidth="1"/>
    <col min="7172" max="7172" width="11" style="159" customWidth="1"/>
    <col min="7173" max="7173" width="9.875" style="159" customWidth="1"/>
    <col min="7174" max="7174" width="11.75" style="159" customWidth="1"/>
    <col min="7175" max="7181" width="11" style="159" customWidth="1"/>
    <col min="7182" max="7182" width="25.75" style="159" customWidth="1"/>
    <col min="7183" max="7183" width="9" style="159"/>
    <col min="7184" max="7184" width="9.125" style="159" customWidth="1"/>
    <col min="7185" max="7424" width="9" style="159"/>
    <col min="7425" max="7425" width="16.25" style="159" customWidth="1"/>
    <col min="7426" max="7427" width="12.5" style="159" customWidth="1"/>
    <col min="7428" max="7428" width="11" style="159" customWidth="1"/>
    <col min="7429" max="7429" width="9.875" style="159" customWidth="1"/>
    <col min="7430" max="7430" width="11.75" style="159" customWidth="1"/>
    <col min="7431" max="7437" width="11" style="159" customWidth="1"/>
    <col min="7438" max="7438" width="25.75" style="159" customWidth="1"/>
    <col min="7439" max="7439" width="9" style="159"/>
    <col min="7440" max="7440" width="9.125" style="159" customWidth="1"/>
    <col min="7441" max="7680" width="9" style="159"/>
    <col min="7681" max="7681" width="16.25" style="159" customWidth="1"/>
    <col min="7682" max="7683" width="12.5" style="159" customWidth="1"/>
    <col min="7684" max="7684" width="11" style="159" customWidth="1"/>
    <col min="7685" max="7685" width="9.875" style="159" customWidth="1"/>
    <col min="7686" max="7686" width="11.75" style="159" customWidth="1"/>
    <col min="7687" max="7693" width="11" style="159" customWidth="1"/>
    <col min="7694" max="7694" width="25.75" style="159" customWidth="1"/>
    <col min="7695" max="7695" width="9" style="159"/>
    <col min="7696" max="7696" width="9.125" style="159" customWidth="1"/>
    <col min="7697" max="7936" width="9" style="159"/>
    <col min="7937" max="7937" width="16.25" style="159" customWidth="1"/>
    <col min="7938" max="7939" width="12.5" style="159" customWidth="1"/>
    <col min="7940" max="7940" width="11" style="159" customWidth="1"/>
    <col min="7941" max="7941" width="9.875" style="159" customWidth="1"/>
    <col min="7942" max="7942" width="11.75" style="159" customWidth="1"/>
    <col min="7943" max="7949" width="11" style="159" customWidth="1"/>
    <col min="7950" max="7950" width="25.75" style="159" customWidth="1"/>
    <col min="7951" max="7951" width="9" style="159"/>
    <col min="7952" max="7952" width="9.125" style="159" customWidth="1"/>
    <col min="7953" max="8192" width="9" style="159"/>
    <col min="8193" max="8193" width="16.25" style="159" customWidth="1"/>
    <col min="8194" max="8195" width="12.5" style="159" customWidth="1"/>
    <col min="8196" max="8196" width="11" style="159" customWidth="1"/>
    <col min="8197" max="8197" width="9.875" style="159" customWidth="1"/>
    <col min="8198" max="8198" width="11.75" style="159" customWidth="1"/>
    <col min="8199" max="8205" width="11" style="159" customWidth="1"/>
    <col min="8206" max="8206" width="25.75" style="159" customWidth="1"/>
    <col min="8207" max="8207" width="9" style="159"/>
    <col min="8208" max="8208" width="9.125" style="159" customWidth="1"/>
    <col min="8209" max="8448" width="9" style="159"/>
    <col min="8449" max="8449" width="16.25" style="159" customWidth="1"/>
    <col min="8450" max="8451" width="12.5" style="159" customWidth="1"/>
    <col min="8452" max="8452" width="11" style="159" customWidth="1"/>
    <col min="8453" max="8453" width="9.875" style="159" customWidth="1"/>
    <col min="8454" max="8454" width="11.75" style="159" customWidth="1"/>
    <col min="8455" max="8461" width="11" style="159" customWidth="1"/>
    <col min="8462" max="8462" width="25.75" style="159" customWidth="1"/>
    <col min="8463" max="8463" width="9" style="159"/>
    <col min="8464" max="8464" width="9.125" style="159" customWidth="1"/>
    <col min="8465" max="8704" width="9" style="159"/>
    <col min="8705" max="8705" width="16.25" style="159" customWidth="1"/>
    <col min="8706" max="8707" width="12.5" style="159" customWidth="1"/>
    <col min="8708" max="8708" width="11" style="159" customWidth="1"/>
    <col min="8709" max="8709" width="9.875" style="159" customWidth="1"/>
    <col min="8710" max="8710" width="11.75" style="159" customWidth="1"/>
    <col min="8711" max="8717" width="11" style="159" customWidth="1"/>
    <col min="8718" max="8718" width="25.75" style="159" customWidth="1"/>
    <col min="8719" max="8719" width="9" style="159"/>
    <col min="8720" max="8720" width="9.125" style="159" customWidth="1"/>
    <col min="8721" max="8960" width="9" style="159"/>
    <col min="8961" max="8961" width="16.25" style="159" customWidth="1"/>
    <col min="8962" max="8963" width="12.5" style="159" customWidth="1"/>
    <col min="8964" max="8964" width="11" style="159" customWidth="1"/>
    <col min="8965" max="8965" width="9.875" style="159" customWidth="1"/>
    <col min="8966" max="8966" width="11.75" style="159" customWidth="1"/>
    <col min="8967" max="8973" width="11" style="159" customWidth="1"/>
    <col min="8974" max="8974" width="25.75" style="159" customWidth="1"/>
    <col min="8975" max="8975" width="9" style="159"/>
    <col min="8976" max="8976" width="9.125" style="159" customWidth="1"/>
    <col min="8977" max="9216" width="9" style="159"/>
    <col min="9217" max="9217" width="16.25" style="159" customWidth="1"/>
    <col min="9218" max="9219" width="12.5" style="159" customWidth="1"/>
    <col min="9220" max="9220" width="11" style="159" customWidth="1"/>
    <col min="9221" max="9221" width="9.875" style="159" customWidth="1"/>
    <col min="9222" max="9222" width="11.75" style="159" customWidth="1"/>
    <col min="9223" max="9229" width="11" style="159" customWidth="1"/>
    <col min="9230" max="9230" width="25.75" style="159" customWidth="1"/>
    <col min="9231" max="9231" width="9" style="159"/>
    <col min="9232" max="9232" width="9.125" style="159" customWidth="1"/>
    <col min="9233" max="9472" width="9" style="159"/>
    <col min="9473" max="9473" width="16.25" style="159" customWidth="1"/>
    <col min="9474" max="9475" width="12.5" style="159" customWidth="1"/>
    <col min="9476" max="9476" width="11" style="159" customWidth="1"/>
    <col min="9477" max="9477" width="9.875" style="159" customWidth="1"/>
    <col min="9478" max="9478" width="11.75" style="159" customWidth="1"/>
    <col min="9479" max="9485" width="11" style="159" customWidth="1"/>
    <col min="9486" max="9486" width="25.75" style="159" customWidth="1"/>
    <col min="9487" max="9487" width="9" style="159"/>
    <col min="9488" max="9488" width="9.125" style="159" customWidth="1"/>
    <col min="9489" max="9728" width="9" style="159"/>
    <col min="9729" max="9729" width="16.25" style="159" customWidth="1"/>
    <col min="9730" max="9731" width="12.5" style="159" customWidth="1"/>
    <col min="9732" max="9732" width="11" style="159" customWidth="1"/>
    <col min="9733" max="9733" width="9.875" style="159" customWidth="1"/>
    <col min="9734" max="9734" width="11.75" style="159" customWidth="1"/>
    <col min="9735" max="9741" width="11" style="159" customWidth="1"/>
    <col min="9742" max="9742" width="25.75" style="159" customWidth="1"/>
    <col min="9743" max="9743" width="9" style="159"/>
    <col min="9744" max="9744" width="9.125" style="159" customWidth="1"/>
    <col min="9745" max="9984" width="9" style="159"/>
    <col min="9985" max="9985" width="16.25" style="159" customWidth="1"/>
    <col min="9986" max="9987" width="12.5" style="159" customWidth="1"/>
    <col min="9988" max="9988" width="11" style="159" customWidth="1"/>
    <col min="9989" max="9989" width="9.875" style="159" customWidth="1"/>
    <col min="9990" max="9990" width="11.75" style="159" customWidth="1"/>
    <col min="9991" max="9997" width="11" style="159" customWidth="1"/>
    <col min="9998" max="9998" width="25.75" style="159" customWidth="1"/>
    <col min="9999" max="9999" width="9" style="159"/>
    <col min="10000" max="10000" width="9.125" style="159" customWidth="1"/>
    <col min="10001" max="10240" width="9" style="159"/>
    <col min="10241" max="10241" width="16.25" style="159" customWidth="1"/>
    <col min="10242" max="10243" width="12.5" style="159" customWidth="1"/>
    <col min="10244" max="10244" width="11" style="159" customWidth="1"/>
    <col min="10245" max="10245" width="9.875" style="159" customWidth="1"/>
    <col min="10246" max="10246" width="11.75" style="159" customWidth="1"/>
    <col min="10247" max="10253" width="11" style="159" customWidth="1"/>
    <col min="10254" max="10254" width="25.75" style="159" customWidth="1"/>
    <col min="10255" max="10255" width="9" style="159"/>
    <col min="10256" max="10256" width="9.125" style="159" customWidth="1"/>
    <col min="10257" max="10496" width="9" style="159"/>
    <col min="10497" max="10497" width="16.25" style="159" customWidth="1"/>
    <col min="10498" max="10499" width="12.5" style="159" customWidth="1"/>
    <col min="10500" max="10500" width="11" style="159" customWidth="1"/>
    <col min="10501" max="10501" width="9.875" style="159" customWidth="1"/>
    <col min="10502" max="10502" width="11.75" style="159" customWidth="1"/>
    <col min="10503" max="10509" width="11" style="159" customWidth="1"/>
    <col min="10510" max="10510" width="25.75" style="159" customWidth="1"/>
    <col min="10511" max="10511" width="9" style="159"/>
    <col min="10512" max="10512" width="9.125" style="159" customWidth="1"/>
    <col min="10513" max="10752" width="9" style="159"/>
    <col min="10753" max="10753" width="16.25" style="159" customWidth="1"/>
    <col min="10754" max="10755" width="12.5" style="159" customWidth="1"/>
    <col min="10756" max="10756" width="11" style="159" customWidth="1"/>
    <col min="10757" max="10757" width="9.875" style="159" customWidth="1"/>
    <col min="10758" max="10758" width="11.75" style="159" customWidth="1"/>
    <col min="10759" max="10765" width="11" style="159" customWidth="1"/>
    <col min="10766" max="10766" width="25.75" style="159" customWidth="1"/>
    <col min="10767" max="10767" width="9" style="159"/>
    <col min="10768" max="10768" width="9.125" style="159" customWidth="1"/>
    <col min="10769" max="11008" width="9" style="159"/>
    <col min="11009" max="11009" width="16.25" style="159" customWidth="1"/>
    <col min="11010" max="11011" width="12.5" style="159" customWidth="1"/>
    <col min="11012" max="11012" width="11" style="159" customWidth="1"/>
    <col min="11013" max="11013" width="9.875" style="159" customWidth="1"/>
    <col min="11014" max="11014" width="11.75" style="159" customWidth="1"/>
    <col min="11015" max="11021" width="11" style="159" customWidth="1"/>
    <col min="11022" max="11022" width="25.75" style="159" customWidth="1"/>
    <col min="11023" max="11023" width="9" style="159"/>
    <col min="11024" max="11024" width="9.125" style="159" customWidth="1"/>
    <col min="11025" max="11264" width="9" style="159"/>
    <col min="11265" max="11265" width="16.25" style="159" customWidth="1"/>
    <col min="11266" max="11267" width="12.5" style="159" customWidth="1"/>
    <col min="11268" max="11268" width="11" style="159" customWidth="1"/>
    <col min="11269" max="11269" width="9.875" style="159" customWidth="1"/>
    <col min="11270" max="11270" width="11.75" style="159" customWidth="1"/>
    <col min="11271" max="11277" width="11" style="159" customWidth="1"/>
    <col min="11278" max="11278" width="25.75" style="159" customWidth="1"/>
    <col min="11279" max="11279" width="9" style="159"/>
    <col min="11280" max="11280" width="9.125" style="159" customWidth="1"/>
    <col min="11281" max="11520" width="9" style="159"/>
    <col min="11521" max="11521" width="16.25" style="159" customWidth="1"/>
    <col min="11522" max="11523" width="12.5" style="159" customWidth="1"/>
    <col min="11524" max="11524" width="11" style="159" customWidth="1"/>
    <col min="11525" max="11525" width="9.875" style="159" customWidth="1"/>
    <col min="11526" max="11526" width="11.75" style="159" customWidth="1"/>
    <col min="11527" max="11533" width="11" style="159" customWidth="1"/>
    <col min="11534" max="11534" width="25.75" style="159" customWidth="1"/>
    <col min="11535" max="11535" width="9" style="159"/>
    <col min="11536" max="11536" width="9.125" style="159" customWidth="1"/>
    <col min="11537" max="11776" width="9" style="159"/>
    <col min="11777" max="11777" width="16.25" style="159" customWidth="1"/>
    <col min="11778" max="11779" width="12.5" style="159" customWidth="1"/>
    <col min="11780" max="11780" width="11" style="159" customWidth="1"/>
    <col min="11781" max="11781" width="9.875" style="159" customWidth="1"/>
    <col min="11782" max="11782" width="11.75" style="159" customWidth="1"/>
    <col min="11783" max="11789" width="11" style="159" customWidth="1"/>
    <col min="11790" max="11790" width="25.75" style="159" customWidth="1"/>
    <col min="11791" max="11791" width="9" style="159"/>
    <col min="11792" max="11792" width="9.125" style="159" customWidth="1"/>
    <col min="11793" max="12032" width="9" style="159"/>
    <col min="12033" max="12033" width="16.25" style="159" customWidth="1"/>
    <col min="12034" max="12035" width="12.5" style="159" customWidth="1"/>
    <col min="12036" max="12036" width="11" style="159" customWidth="1"/>
    <col min="12037" max="12037" width="9.875" style="159" customWidth="1"/>
    <col min="12038" max="12038" width="11.75" style="159" customWidth="1"/>
    <col min="12039" max="12045" width="11" style="159" customWidth="1"/>
    <col min="12046" max="12046" width="25.75" style="159" customWidth="1"/>
    <col min="12047" max="12047" width="9" style="159"/>
    <col min="12048" max="12048" width="9.125" style="159" customWidth="1"/>
    <col min="12049" max="12288" width="9" style="159"/>
    <col min="12289" max="12289" width="16.25" style="159" customWidth="1"/>
    <col min="12290" max="12291" width="12.5" style="159" customWidth="1"/>
    <col min="12292" max="12292" width="11" style="159" customWidth="1"/>
    <col min="12293" max="12293" width="9.875" style="159" customWidth="1"/>
    <col min="12294" max="12294" width="11.75" style="159" customWidth="1"/>
    <col min="12295" max="12301" width="11" style="159" customWidth="1"/>
    <col min="12302" max="12302" width="25.75" style="159" customWidth="1"/>
    <col min="12303" max="12303" width="9" style="159"/>
    <col min="12304" max="12304" width="9.125" style="159" customWidth="1"/>
    <col min="12305" max="12544" width="9" style="159"/>
    <col min="12545" max="12545" width="16.25" style="159" customWidth="1"/>
    <col min="12546" max="12547" width="12.5" style="159" customWidth="1"/>
    <col min="12548" max="12548" width="11" style="159" customWidth="1"/>
    <col min="12549" max="12549" width="9.875" style="159" customWidth="1"/>
    <col min="12550" max="12550" width="11.75" style="159" customWidth="1"/>
    <col min="12551" max="12557" width="11" style="159" customWidth="1"/>
    <col min="12558" max="12558" width="25.75" style="159" customWidth="1"/>
    <col min="12559" max="12559" width="9" style="159"/>
    <col min="12560" max="12560" width="9.125" style="159" customWidth="1"/>
    <col min="12561" max="12800" width="9" style="159"/>
    <col min="12801" max="12801" width="16.25" style="159" customWidth="1"/>
    <col min="12802" max="12803" width="12.5" style="159" customWidth="1"/>
    <col min="12804" max="12804" width="11" style="159" customWidth="1"/>
    <col min="12805" max="12805" width="9.875" style="159" customWidth="1"/>
    <col min="12806" max="12806" width="11.75" style="159" customWidth="1"/>
    <col min="12807" max="12813" width="11" style="159" customWidth="1"/>
    <col min="12814" max="12814" width="25.75" style="159" customWidth="1"/>
    <col min="12815" max="12815" width="9" style="159"/>
    <col min="12816" max="12816" width="9.125" style="159" customWidth="1"/>
    <col min="12817" max="13056" width="9" style="159"/>
    <col min="13057" max="13057" width="16.25" style="159" customWidth="1"/>
    <col min="13058" max="13059" width="12.5" style="159" customWidth="1"/>
    <col min="13060" max="13060" width="11" style="159" customWidth="1"/>
    <col min="13061" max="13061" width="9.875" style="159" customWidth="1"/>
    <col min="13062" max="13062" width="11.75" style="159" customWidth="1"/>
    <col min="13063" max="13069" width="11" style="159" customWidth="1"/>
    <col min="13070" max="13070" width="25.75" style="159" customWidth="1"/>
    <col min="13071" max="13071" width="9" style="159"/>
    <col min="13072" max="13072" width="9.125" style="159" customWidth="1"/>
    <col min="13073" max="13312" width="9" style="159"/>
    <col min="13313" max="13313" width="16.25" style="159" customWidth="1"/>
    <col min="13314" max="13315" width="12.5" style="159" customWidth="1"/>
    <col min="13316" max="13316" width="11" style="159" customWidth="1"/>
    <col min="13317" max="13317" width="9.875" style="159" customWidth="1"/>
    <col min="13318" max="13318" width="11.75" style="159" customWidth="1"/>
    <col min="13319" max="13325" width="11" style="159" customWidth="1"/>
    <col min="13326" max="13326" width="25.75" style="159" customWidth="1"/>
    <col min="13327" max="13327" width="9" style="159"/>
    <col min="13328" max="13328" width="9.125" style="159" customWidth="1"/>
    <col min="13329" max="13568" width="9" style="159"/>
    <col min="13569" max="13569" width="16.25" style="159" customWidth="1"/>
    <col min="13570" max="13571" width="12.5" style="159" customWidth="1"/>
    <col min="13572" max="13572" width="11" style="159" customWidth="1"/>
    <col min="13573" max="13573" width="9.875" style="159" customWidth="1"/>
    <col min="13574" max="13574" width="11.75" style="159" customWidth="1"/>
    <col min="13575" max="13581" width="11" style="159" customWidth="1"/>
    <col min="13582" max="13582" width="25.75" style="159" customWidth="1"/>
    <col min="13583" max="13583" width="9" style="159"/>
    <col min="13584" max="13584" width="9.125" style="159" customWidth="1"/>
    <col min="13585" max="13824" width="9" style="159"/>
    <col min="13825" max="13825" width="16.25" style="159" customWidth="1"/>
    <col min="13826" max="13827" width="12.5" style="159" customWidth="1"/>
    <col min="13828" max="13828" width="11" style="159" customWidth="1"/>
    <col min="13829" max="13829" width="9.875" style="159" customWidth="1"/>
    <col min="13830" max="13830" width="11.75" style="159" customWidth="1"/>
    <col min="13831" max="13837" width="11" style="159" customWidth="1"/>
    <col min="13838" max="13838" width="25.75" style="159" customWidth="1"/>
    <col min="13839" max="13839" width="9" style="159"/>
    <col min="13840" max="13840" width="9.125" style="159" customWidth="1"/>
    <col min="13841" max="14080" width="9" style="159"/>
    <col min="14081" max="14081" width="16.25" style="159" customWidth="1"/>
    <col min="14082" max="14083" width="12.5" style="159" customWidth="1"/>
    <col min="14084" max="14084" width="11" style="159" customWidth="1"/>
    <col min="14085" max="14085" width="9.875" style="159" customWidth="1"/>
    <col min="14086" max="14086" width="11.75" style="159" customWidth="1"/>
    <col min="14087" max="14093" width="11" style="159" customWidth="1"/>
    <col min="14094" max="14094" width="25.75" style="159" customWidth="1"/>
    <col min="14095" max="14095" width="9" style="159"/>
    <col min="14096" max="14096" width="9.125" style="159" customWidth="1"/>
    <col min="14097" max="14336" width="9" style="159"/>
    <col min="14337" max="14337" width="16.25" style="159" customWidth="1"/>
    <col min="14338" max="14339" width="12.5" style="159" customWidth="1"/>
    <col min="14340" max="14340" width="11" style="159" customWidth="1"/>
    <col min="14341" max="14341" width="9.875" style="159" customWidth="1"/>
    <col min="14342" max="14342" width="11.75" style="159" customWidth="1"/>
    <col min="14343" max="14349" width="11" style="159" customWidth="1"/>
    <col min="14350" max="14350" width="25.75" style="159" customWidth="1"/>
    <col min="14351" max="14351" width="9" style="159"/>
    <col min="14352" max="14352" width="9.125" style="159" customWidth="1"/>
    <col min="14353" max="14592" width="9" style="159"/>
    <col min="14593" max="14593" width="16.25" style="159" customWidth="1"/>
    <col min="14594" max="14595" width="12.5" style="159" customWidth="1"/>
    <col min="14596" max="14596" width="11" style="159" customWidth="1"/>
    <col min="14597" max="14597" width="9.875" style="159" customWidth="1"/>
    <col min="14598" max="14598" width="11.75" style="159" customWidth="1"/>
    <col min="14599" max="14605" width="11" style="159" customWidth="1"/>
    <col min="14606" max="14606" width="25.75" style="159" customWidth="1"/>
    <col min="14607" max="14607" width="9" style="159"/>
    <col min="14608" max="14608" width="9.125" style="159" customWidth="1"/>
    <col min="14609" max="14848" width="9" style="159"/>
    <col min="14849" max="14849" width="16.25" style="159" customWidth="1"/>
    <col min="14850" max="14851" width="12.5" style="159" customWidth="1"/>
    <col min="14852" max="14852" width="11" style="159" customWidth="1"/>
    <col min="14853" max="14853" width="9.875" style="159" customWidth="1"/>
    <col min="14854" max="14854" width="11.75" style="159" customWidth="1"/>
    <col min="14855" max="14861" width="11" style="159" customWidth="1"/>
    <col min="14862" max="14862" width="25.75" style="159" customWidth="1"/>
    <col min="14863" max="14863" width="9" style="159"/>
    <col min="14864" max="14864" width="9.125" style="159" customWidth="1"/>
    <col min="14865" max="15104" width="9" style="159"/>
    <col min="15105" max="15105" width="16.25" style="159" customWidth="1"/>
    <col min="15106" max="15107" width="12.5" style="159" customWidth="1"/>
    <col min="15108" max="15108" width="11" style="159" customWidth="1"/>
    <col min="15109" max="15109" width="9.875" style="159" customWidth="1"/>
    <col min="15110" max="15110" width="11.75" style="159" customWidth="1"/>
    <col min="15111" max="15117" width="11" style="159" customWidth="1"/>
    <col min="15118" max="15118" width="25.75" style="159" customWidth="1"/>
    <col min="15119" max="15119" width="9" style="159"/>
    <col min="15120" max="15120" width="9.125" style="159" customWidth="1"/>
    <col min="15121" max="15360" width="9" style="159"/>
    <col min="15361" max="15361" width="16.25" style="159" customWidth="1"/>
    <col min="15362" max="15363" width="12.5" style="159" customWidth="1"/>
    <col min="15364" max="15364" width="11" style="159" customWidth="1"/>
    <col min="15365" max="15365" width="9.875" style="159" customWidth="1"/>
    <col min="15366" max="15366" width="11.75" style="159" customWidth="1"/>
    <col min="15367" max="15373" width="11" style="159" customWidth="1"/>
    <col min="15374" max="15374" width="25.75" style="159" customWidth="1"/>
    <col min="15375" max="15375" width="9" style="159"/>
    <col min="15376" max="15376" width="9.125" style="159" customWidth="1"/>
    <col min="15377" max="15616" width="9" style="159"/>
    <col min="15617" max="15617" width="16.25" style="159" customWidth="1"/>
    <col min="15618" max="15619" width="12.5" style="159" customWidth="1"/>
    <col min="15620" max="15620" width="11" style="159" customWidth="1"/>
    <col min="15621" max="15621" width="9.875" style="159" customWidth="1"/>
    <col min="15622" max="15622" width="11.75" style="159" customWidth="1"/>
    <col min="15623" max="15629" width="11" style="159" customWidth="1"/>
    <col min="15630" max="15630" width="25.75" style="159" customWidth="1"/>
    <col min="15631" max="15631" width="9" style="159"/>
    <col min="15632" max="15632" width="9.125" style="159" customWidth="1"/>
    <col min="15633" max="15872" width="9" style="159"/>
    <col min="15873" max="15873" width="16.25" style="159" customWidth="1"/>
    <col min="15874" max="15875" width="12.5" style="159" customWidth="1"/>
    <col min="15876" max="15876" width="11" style="159" customWidth="1"/>
    <col min="15877" max="15877" width="9.875" style="159" customWidth="1"/>
    <col min="15878" max="15878" width="11.75" style="159" customWidth="1"/>
    <col min="15879" max="15885" width="11" style="159" customWidth="1"/>
    <col min="15886" max="15886" width="25.75" style="159" customWidth="1"/>
    <col min="15887" max="15887" width="9" style="159"/>
    <col min="15888" max="15888" width="9.125" style="159" customWidth="1"/>
    <col min="15889" max="16128" width="9" style="159"/>
    <col min="16129" max="16129" width="16.25" style="159" customWidth="1"/>
    <col min="16130" max="16131" width="12.5" style="159" customWidth="1"/>
    <col min="16132" max="16132" width="11" style="159" customWidth="1"/>
    <col min="16133" max="16133" width="9.875" style="159" customWidth="1"/>
    <col min="16134" max="16134" width="11.75" style="159" customWidth="1"/>
    <col min="16135" max="16141" width="11" style="159" customWidth="1"/>
    <col min="16142" max="16142" width="25.75" style="159" customWidth="1"/>
    <col min="16143" max="16143" width="9" style="159"/>
    <col min="16144" max="16144" width="9.125" style="159" customWidth="1"/>
    <col min="16145" max="16384" width="9" style="159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15" t="s">
        <v>64</v>
      </c>
    </row>
    <row r="3" s="123" customFormat="1" ht="15" customHeight="1" spans="1:15">
      <c r="A3" s="123" t="str">
        <f>'G-高新'!A3</f>
        <v>编制期间：2020年4月</v>
      </c>
      <c r="G3" s="124" t="s">
        <v>361</v>
      </c>
      <c r="H3" s="124"/>
      <c r="I3" s="124"/>
      <c r="N3" s="136"/>
      <c r="O3" s="136"/>
    </row>
    <row r="4" s="15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21"/>
      <c r="D7" s="21"/>
      <c r="E7" s="21">
        <v>-3051.7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-3051.7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21">
        <v>36.6</v>
      </c>
      <c r="D9" s="21">
        <v>41.6</v>
      </c>
      <c r="E9" s="21">
        <v>45.8</v>
      </c>
      <c r="F9" s="21">
        <v>46.6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170.6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36.6</v>
      </c>
      <c r="D13" s="58">
        <f t="shared" ref="D13:N13" si="1">SUM(D6:D12)</f>
        <v>41.6</v>
      </c>
      <c r="E13" s="58">
        <f t="shared" si="1"/>
        <v>-3005.9</v>
      </c>
      <c r="F13" s="58">
        <f t="shared" si="1"/>
        <v>46.6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-2881.1</v>
      </c>
      <c r="P13" s="156"/>
      <c r="Q13" s="156"/>
      <c r="R13" s="156"/>
      <c r="S13" s="156"/>
      <c r="T13" s="156"/>
      <c r="U13" s="156"/>
      <c r="V13" s="156"/>
    </row>
    <row r="14" spans="4:22">
      <c r="D14" s="154"/>
      <c r="E14" s="154"/>
      <c r="F14" s="154"/>
      <c r="G14" s="160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spans="1:22">
      <c r="A15" s="132" t="s">
        <v>363</v>
      </c>
      <c r="B15" s="132"/>
      <c r="C15" s="132"/>
      <c r="D15" s="161"/>
      <c r="E15" s="161"/>
      <c r="F15" s="161"/>
      <c r="G15" s="160"/>
      <c r="H15" s="154"/>
      <c r="I15" s="161"/>
      <c r="J15" s="161"/>
      <c r="K15" s="161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/>
      <c r="E16" s="154"/>
      <c r="F16" s="154"/>
      <c r="G16" s="160"/>
      <c r="H16" s="154"/>
      <c r="I16" s="154"/>
      <c r="J16" s="154"/>
      <c r="K16" s="154"/>
      <c r="L16" s="154"/>
      <c r="M16" s="154"/>
      <c r="N16" s="154"/>
      <c r="O16" s="154">
        <f>O15-O13</f>
        <v>2881.1</v>
      </c>
      <c r="P16" s="154"/>
      <c r="Q16" s="154"/>
      <c r="R16" s="154"/>
      <c r="S16" s="154"/>
      <c r="T16" s="154"/>
      <c r="U16" s="154"/>
      <c r="V16" s="154"/>
    </row>
    <row r="17" s="158" customFormat="1" spans="3:22">
      <c r="C17" s="158">
        <f>C13+'C-九江吉慕特'!C13+'C-上海吉慕特'!C13</f>
        <v>561.6</v>
      </c>
      <c r="D17" s="134"/>
      <c r="E17" s="134"/>
      <c r="F17" s="134"/>
      <c r="G17" s="134"/>
      <c r="H17" s="134">
        <f>H13+'C-九江吉慕特'!H13+'C-上海吉慕特'!H13</f>
        <v>0</v>
      </c>
      <c r="I17" s="134">
        <f>I13+'C-九江吉慕特'!I13+'C-上海吉慕特'!I13</f>
        <v>0</v>
      </c>
      <c r="J17" s="134">
        <f>J13+'C-九江吉慕特'!J13+'C-上海吉慕特'!J13</f>
        <v>0</v>
      </c>
      <c r="K17" s="134">
        <f>K13+'C-九江吉慕特'!K13+'C-上海吉慕特'!K13</f>
        <v>0</v>
      </c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</row>
    <row r="18" spans="4:22">
      <c r="D18" s="154"/>
      <c r="E18" s="154"/>
      <c r="F18" s="154"/>
      <c r="G18" s="160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</row>
    <row r="19" spans="7:7">
      <c r="G19" s="162"/>
    </row>
    <row r="20" spans="7:7">
      <c r="G20" s="162"/>
    </row>
    <row r="21" spans="7:7">
      <c r="G21" s="162"/>
    </row>
    <row r="22" spans="7:7">
      <c r="G22" s="162"/>
    </row>
    <row r="23" spans="7:7">
      <c r="G23" s="162"/>
    </row>
    <row r="24" spans="7:7">
      <c r="G24" s="162"/>
    </row>
    <row r="25" spans="7:7">
      <c r="G25" s="162"/>
    </row>
    <row r="26" spans="7:7">
      <c r="G26" s="162"/>
    </row>
    <row r="27" spans="7:7">
      <c r="G27" s="162"/>
    </row>
    <row r="28" spans="7:7">
      <c r="G28" s="162"/>
    </row>
    <row r="29" spans="7:7">
      <c r="G29" s="162"/>
    </row>
    <row r="30" spans="7:7">
      <c r="G30" s="162"/>
    </row>
    <row r="31" spans="7:7">
      <c r="G31" s="162"/>
    </row>
    <row r="32" spans="7:7">
      <c r="G32" s="162"/>
    </row>
    <row r="33" spans="7:7">
      <c r="G33" s="162"/>
    </row>
    <row r="34" spans="7:7">
      <c r="G34" s="162"/>
    </row>
    <row r="35" spans="7:7">
      <c r="G35" s="162"/>
    </row>
    <row r="36" spans="7:7">
      <c r="G36" s="162"/>
    </row>
    <row r="37" spans="7:7">
      <c r="G37" s="162"/>
    </row>
    <row r="38" spans="7:7">
      <c r="G38" s="162"/>
    </row>
    <row r="39" spans="7:7">
      <c r="G39" s="162"/>
    </row>
    <row r="40" spans="7:7">
      <c r="G40" s="162"/>
    </row>
    <row r="41" spans="7:7">
      <c r="G41" s="162"/>
    </row>
    <row r="42" spans="7:7">
      <c r="G42" s="162"/>
    </row>
    <row r="43" spans="7:7">
      <c r="G43" s="162"/>
    </row>
    <row r="44" spans="7:7">
      <c r="G44" s="162"/>
    </row>
    <row r="45" spans="7:7">
      <c r="G45" s="162"/>
    </row>
    <row r="46" spans="7:7">
      <c r="G46" s="162"/>
    </row>
    <row r="47" spans="7:7">
      <c r="G47" s="162"/>
    </row>
    <row r="48" spans="7:7">
      <c r="G48" s="162"/>
    </row>
    <row r="49" spans="7:7">
      <c r="G49" s="162"/>
    </row>
    <row r="50" spans="7:7">
      <c r="G50" s="162"/>
    </row>
    <row r="51" spans="7:7">
      <c r="G51" s="162"/>
    </row>
    <row r="52" spans="7:7">
      <c r="G52" s="162"/>
    </row>
    <row r="53" spans="7:7">
      <c r="G53" s="162"/>
    </row>
    <row r="54" spans="7:7">
      <c r="G54" s="162"/>
    </row>
    <row r="55" spans="7:7">
      <c r="G55" s="162"/>
    </row>
    <row r="56" spans="7:7">
      <c r="G56" s="162"/>
    </row>
    <row r="57" spans="7:7">
      <c r="G57" s="162"/>
    </row>
    <row r="58" spans="7:7">
      <c r="G58" s="162"/>
    </row>
    <row r="59" spans="7:7">
      <c r="G59" s="162"/>
    </row>
    <row r="60" spans="7:7">
      <c r="G60" s="162"/>
    </row>
    <row r="61" spans="7:7">
      <c r="G61" s="162"/>
    </row>
    <row r="62" spans="7:7">
      <c r="G62" s="162"/>
    </row>
    <row r="63" spans="7:7">
      <c r="G63" s="162"/>
    </row>
    <row r="64" spans="7:7">
      <c r="G64" s="162"/>
    </row>
    <row r="65" spans="7:7">
      <c r="G65" s="162"/>
    </row>
    <row r="66" spans="7:7">
      <c r="G66" s="162"/>
    </row>
    <row r="67" spans="7:7">
      <c r="G67" s="162"/>
    </row>
    <row r="68" spans="7:7">
      <c r="G68" s="162"/>
    </row>
    <row r="69" spans="7:7">
      <c r="G69" s="162"/>
    </row>
    <row r="70" spans="7:7">
      <c r="G70" s="162"/>
    </row>
    <row r="71" spans="7:7">
      <c r="G71" s="162"/>
    </row>
    <row r="72" spans="7:7">
      <c r="G72" s="162"/>
    </row>
    <row r="73" spans="7:7">
      <c r="G73" s="162"/>
    </row>
    <row r="74" spans="7:7">
      <c r="G74" s="162"/>
    </row>
    <row r="75" spans="7:7">
      <c r="G75" s="162"/>
    </row>
    <row r="76" spans="7:7">
      <c r="G76" s="162"/>
    </row>
    <row r="77" spans="7:7">
      <c r="G77" s="162"/>
    </row>
    <row r="78" spans="7:7">
      <c r="G78" s="162"/>
    </row>
    <row r="79" spans="7:7">
      <c r="G79" s="162"/>
    </row>
    <row r="80" spans="7:7">
      <c r="G80" s="162"/>
    </row>
    <row r="81" spans="7:7">
      <c r="G81" s="162"/>
    </row>
    <row r="82" spans="7:7">
      <c r="G82" s="162"/>
    </row>
    <row r="83" spans="7:7">
      <c r="G83" s="162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A15:IV15 O14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</conditionalFormatting>
  <pageMargins left="0.75" right="0.75" top="1" bottom="1" header="0.5" footer="0.5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G25" sqref="G25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366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>
        <v>1972.48</v>
      </c>
      <c r="G6" s="21"/>
      <c r="H6" s="21"/>
      <c r="I6" s="21"/>
      <c r="J6" s="21"/>
      <c r="K6" s="21"/>
      <c r="L6" s="21"/>
      <c r="M6" s="21"/>
      <c r="N6" s="21"/>
      <c r="O6" s="47">
        <f>SUM(C6:N6)</f>
        <v>1972.48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-100.59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-100.59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44</v>
      </c>
      <c r="D9" s="21">
        <v>5</v>
      </c>
      <c r="E9" s="21">
        <v>672</v>
      </c>
      <c r="F9" s="21">
        <v>10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731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>
        <v>100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100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44</v>
      </c>
      <c r="D13" s="58">
        <f t="shared" ref="D13:N13" si="1">SUM(D6:D12)</f>
        <v>105</v>
      </c>
      <c r="E13" s="58">
        <f t="shared" si="1"/>
        <v>571.41</v>
      </c>
      <c r="F13" s="58">
        <f t="shared" si="1"/>
        <v>1982.48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2702.89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>
        <f>N13+'C-宜春天赐'!N13+'C-美思'!N13</f>
        <v>0</v>
      </c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E20" sqref="E20"/>
    </sheetView>
  </sheetViews>
  <sheetFormatPr defaultColWidth="9" defaultRowHeight="12.75"/>
  <cols>
    <col min="1" max="1" width="16.25" style="120" customWidth="1"/>
    <col min="2" max="2" width="9.75" style="120" customWidth="1"/>
    <col min="3" max="13" width="14.25" style="120" customWidth="1"/>
    <col min="14" max="14" width="17.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367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633335.85</v>
      </c>
      <c r="D6" s="21">
        <v>504679.98</v>
      </c>
      <c r="E6" s="21">
        <v>642570.26</v>
      </c>
      <c r="F6" s="21">
        <v>536921.93</v>
      </c>
      <c r="G6" s="21"/>
      <c r="H6" s="21"/>
      <c r="I6" s="21"/>
      <c r="J6" s="21"/>
      <c r="K6" s="21"/>
      <c r="L6" s="21"/>
      <c r="M6" s="21"/>
      <c r="N6" s="21"/>
      <c r="O6" s="47">
        <f>SUM(C6:N6)</f>
        <v>2317508.02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 t="s">
        <v>225</v>
      </c>
      <c r="E7" s="21">
        <v>-1535.5</v>
      </c>
      <c r="F7" s="21">
        <v>0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-1535.5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 t="s">
        <v>225</v>
      </c>
      <c r="E8" s="21"/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708</v>
      </c>
      <c r="D9" s="21">
        <v>214.94</v>
      </c>
      <c r="E9" s="21">
        <v>690</v>
      </c>
      <c r="F9" s="21">
        <v>435.23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2048.17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 t="s">
        <v>225</v>
      </c>
      <c r="E10" s="21"/>
      <c r="F10" s="21">
        <v>0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 t="s">
        <v>225</v>
      </c>
      <c r="E11" s="21"/>
      <c r="F11" s="21">
        <v>0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 t="s">
        <v>225</v>
      </c>
      <c r="E12" s="21"/>
      <c r="F12" s="21">
        <v>8008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8008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634043.85</v>
      </c>
      <c r="D13" s="58">
        <f t="shared" ref="D13:N13" si="1">SUM(D6:D12)</f>
        <v>504894.92</v>
      </c>
      <c r="E13" s="58">
        <f t="shared" si="1"/>
        <v>641724.76</v>
      </c>
      <c r="F13" s="58">
        <f t="shared" si="1"/>
        <v>545365.16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2326028.69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/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4">
        <f>K13+'C-美思'!K13+'C-浙江艾德'!K13</f>
        <v>0</v>
      </c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4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I17" sqref="I17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11.75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367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>
        <v>0</v>
      </c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-3461.85</v>
      </c>
      <c r="F7" s="21">
        <v>-0.06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-3461.91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818.64</v>
      </c>
      <c r="D9" s="21">
        <v>113</v>
      </c>
      <c r="E9" s="21">
        <v>1676.44</v>
      </c>
      <c r="F9" s="21">
        <v>677.77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3285.85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>
        <v>-142.7</v>
      </c>
      <c r="D10" s="21">
        <v>-53245.9</v>
      </c>
      <c r="E10" s="21">
        <v>-51929.1</v>
      </c>
      <c r="F10" s="21">
        <v>-0.02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-105317.72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>
        <v>79073.74</v>
      </c>
      <c r="D11" s="21">
        <v>3130.75</v>
      </c>
      <c r="E11" s="21">
        <v>2424.77</v>
      </c>
      <c r="F11" s="21">
        <v>22844.52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107473.78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>
        <v>0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79749.68</v>
      </c>
      <c r="D13" s="58">
        <f t="shared" ref="D13:N13" si="1">SUM(D6:D12)</f>
        <v>-50002.15</v>
      </c>
      <c r="E13" s="58">
        <f t="shared" si="1"/>
        <v>-51289.74</v>
      </c>
      <c r="F13" s="58">
        <f t="shared" si="1"/>
        <v>23522.21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1979.99999999999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17" sqref="F17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368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-317.56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-317.56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47</v>
      </c>
      <c r="D9" s="21">
        <v>30</v>
      </c>
      <c r="E9" s="21">
        <v>442.2</v>
      </c>
      <c r="F9" s="21">
        <v>342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861.2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47</v>
      </c>
      <c r="D13" s="58">
        <f t="shared" ref="D13:N13" si="1">SUM(D6:D12)</f>
        <v>30</v>
      </c>
      <c r="E13" s="58">
        <f t="shared" si="1"/>
        <v>124.64</v>
      </c>
      <c r="F13" s="58">
        <f t="shared" si="1"/>
        <v>342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543.64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30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J23" sqref="J23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369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1437986.46</v>
      </c>
      <c r="D6" s="21">
        <v>1345213.14</v>
      </c>
      <c r="E6" s="21">
        <v>1437986.47</v>
      </c>
      <c r="F6" s="131">
        <v>1391599.81</v>
      </c>
      <c r="G6" s="21"/>
      <c r="H6" s="21"/>
      <c r="I6" s="21"/>
      <c r="J6" s="21"/>
      <c r="K6" s="21"/>
      <c r="L6" s="21"/>
      <c r="M6" s="21"/>
      <c r="N6" s="21"/>
      <c r="O6" s="47">
        <f>SUM(C6:N6)</f>
        <v>5612785.88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-621.87</v>
      </c>
      <c r="F7" s="13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-621.87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152</v>
      </c>
      <c r="D9" s="21">
        <v>81</v>
      </c>
      <c r="E9" s="21">
        <v>683</v>
      </c>
      <c r="F9" s="131">
        <v>464.68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1380.68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>
        <v>-4491.33</v>
      </c>
      <c r="E10" s="21">
        <v>-2962.77</v>
      </c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-7454.1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>
        <v>3343.96</v>
      </c>
      <c r="D11" s="21"/>
      <c r="E11" s="21"/>
      <c r="F11" s="131">
        <v>1056.79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4400.75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1441482.42</v>
      </c>
      <c r="D13" s="58">
        <f t="shared" ref="D13:N13" si="1">SUM(D6:D12)</f>
        <v>1340802.81</v>
      </c>
      <c r="E13" s="58">
        <f t="shared" si="1"/>
        <v>1435084.83</v>
      </c>
      <c r="F13" s="58">
        <f t="shared" si="1"/>
        <v>1393121.28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5610491.34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1340802.81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B18" sqref="B18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370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>
        <v>10000</v>
      </c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414575.79</v>
      </c>
      <c r="D6" s="21">
        <v>390911.11</v>
      </c>
      <c r="E6" s="21">
        <v>398155.52</v>
      </c>
      <c r="F6" s="134">
        <v>305094.51</v>
      </c>
      <c r="G6" s="21"/>
      <c r="H6" s="21"/>
      <c r="I6" s="21"/>
      <c r="J6" s="21"/>
      <c r="K6" s="21"/>
      <c r="L6" s="21"/>
      <c r="M6" s="21"/>
      <c r="N6" s="21"/>
      <c r="O6" s="47">
        <f>SUM(C6:N6)</f>
        <v>1508736.93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-4086.17</v>
      </c>
      <c r="F7" s="21">
        <v>0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-4086.17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>
        <v>0</v>
      </c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15507.67</v>
      </c>
      <c r="D9" s="21">
        <v>19275.07</v>
      </c>
      <c r="E9" s="21">
        <v>44300.75</v>
      </c>
      <c r="F9" s="130">
        <v>41081.04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120164.53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>
        <v>0</v>
      </c>
      <c r="F10" s="21">
        <v>0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>
        <v>0</v>
      </c>
      <c r="F11" s="21">
        <v>0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>
        <v>22341.67</v>
      </c>
      <c r="D12" s="21">
        <v>22341.67</v>
      </c>
      <c r="E12" s="21">
        <v>22341.67</v>
      </c>
      <c r="F12" s="21">
        <v>22341.66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89366.67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452425.13</v>
      </c>
      <c r="D13" s="58">
        <f t="shared" ref="D13:N13" si="1">SUM(D6:D12)</f>
        <v>432527.85</v>
      </c>
      <c r="E13" s="58">
        <f t="shared" si="1"/>
        <v>460711.77</v>
      </c>
      <c r="F13" s="58">
        <f t="shared" si="1"/>
        <v>368517.21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1714181.96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432527.85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>
        <f>D15-D13</f>
        <v>0</v>
      </c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23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6" sqref="F6:F12"/>
    </sheetView>
  </sheetViews>
  <sheetFormatPr defaultColWidth="9" defaultRowHeight="13.5"/>
  <cols>
    <col min="1" max="1" width="16.25" style="153" customWidth="1"/>
    <col min="2" max="2" width="9.75" style="153" customWidth="1"/>
    <col min="3" max="14" width="14.25" style="153" customWidth="1"/>
    <col min="15" max="15" width="14.125" style="153" customWidth="1"/>
    <col min="16" max="16" width="9" style="153" customWidth="1"/>
    <col min="17" max="16384" width="9" style="153"/>
  </cols>
  <sheetData>
    <row r="1" s="114" customFormat="1" ht="28.5" customHeight="1" spans="1:16">
      <c r="A1" s="121" t="s">
        <v>371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78" customFormat="1" ht="18" customHeight="1" spans="1:1">
      <c r="A2" s="78" t="s">
        <v>372</v>
      </c>
    </row>
    <row r="3" s="149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50" customFormat="1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875660</v>
      </c>
      <c r="D6" s="21">
        <v>711078.17</v>
      </c>
      <c r="E6" s="21">
        <v>760939.54</v>
      </c>
      <c r="F6" s="21">
        <v>1093653.52</v>
      </c>
      <c r="G6" s="21"/>
      <c r="H6" s="21"/>
      <c r="I6" s="21"/>
      <c r="J6" s="21"/>
      <c r="K6" s="21"/>
      <c r="L6" s="21"/>
      <c r="M6" s="21"/>
      <c r="N6" s="155"/>
      <c r="O6" s="47">
        <f>SUM(C6:N6)</f>
        <v>3441331.23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21">
        <v>-95172</v>
      </c>
      <c r="D7" s="21">
        <v>-78058.67</v>
      </c>
      <c r="E7" s="21">
        <v>-123476.96</v>
      </c>
      <c r="F7" s="21">
        <v>-71659.73</v>
      </c>
      <c r="G7" s="21"/>
      <c r="H7" s="21"/>
      <c r="I7" s="21"/>
      <c r="J7" s="21"/>
      <c r="K7" s="21"/>
      <c r="L7" s="21"/>
      <c r="M7" s="21"/>
      <c r="N7" s="155"/>
      <c r="O7" s="47">
        <f t="shared" ref="O7:O13" si="0">SUM(C7:N7)</f>
        <v>-368367.36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21">
        <v>-20000</v>
      </c>
      <c r="D8" s="21"/>
      <c r="E8" s="21">
        <v>1733277.77</v>
      </c>
      <c r="F8" s="21">
        <v>0</v>
      </c>
      <c r="G8" s="21"/>
      <c r="H8" s="21"/>
      <c r="I8" s="21"/>
      <c r="J8" s="21"/>
      <c r="K8" s="21"/>
      <c r="L8" s="21"/>
      <c r="M8" s="21"/>
      <c r="N8" s="155"/>
      <c r="O8" s="47">
        <f t="shared" si="0"/>
        <v>1713277.77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21">
        <v>195816.99</v>
      </c>
      <c r="D9" s="21">
        <v>169391.85</v>
      </c>
      <c r="E9" s="21">
        <v>522695.67</v>
      </c>
      <c r="F9" s="21">
        <v>63329.7</v>
      </c>
      <c r="G9" s="21"/>
      <c r="H9" s="21"/>
      <c r="I9" s="21"/>
      <c r="J9" s="21"/>
      <c r="K9" s="21"/>
      <c r="L9" s="21"/>
      <c r="M9" s="21"/>
      <c r="N9" s="155"/>
      <c r="O9" s="47">
        <f t="shared" si="0"/>
        <v>951234.21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21">
        <v>-17947.04</v>
      </c>
      <c r="D10" s="21">
        <v>-73455.99</v>
      </c>
      <c r="E10" s="21">
        <v>-92444.04</v>
      </c>
      <c r="F10" s="21">
        <v>4445.87000000003</v>
      </c>
      <c r="G10" s="21"/>
      <c r="H10" s="21"/>
      <c r="I10" s="21"/>
      <c r="J10" s="21"/>
      <c r="K10" s="21"/>
      <c r="L10" s="21"/>
      <c r="M10" s="21"/>
      <c r="N10" s="155"/>
      <c r="O10" s="47">
        <f t="shared" si="0"/>
        <v>-179401.2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21">
        <v>54222.85</v>
      </c>
      <c r="D11" s="21">
        <v>-12630.73</v>
      </c>
      <c r="E11" s="21">
        <v>-15205.53</v>
      </c>
      <c r="F11" s="21">
        <v>3454.67</v>
      </c>
      <c r="G11" s="21"/>
      <c r="H11" s="21"/>
      <c r="I11" s="21"/>
      <c r="J11" s="21"/>
      <c r="K11" s="21"/>
      <c r="L11" s="21"/>
      <c r="M11" s="21"/>
      <c r="N11" s="155"/>
      <c r="O11" s="47">
        <f t="shared" si="0"/>
        <v>29841.26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21">
        <v>-10000</v>
      </c>
      <c r="D12" s="21"/>
      <c r="E12" s="21"/>
      <c r="F12" s="21">
        <v>0</v>
      </c>
      <c r="G12" s="21"/>
      <c r="H12" s="21"/>
      <c r="I12" s="21"/>
      <c r="J12" s="21"/>
      <c r="K12" s="21"/>
      <c r="L12" s="21"/>
      <c r="M12" s="21"/>
      <c r="N12" s="155"/>
      <c r="O12" s="47">
        <f t="shared" si="0"/>
        <v>-10000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982580.8</v>
      </c>
      <c r="D13" s="58">
        <f t="shared" ref="D13:N13" si="1">SUM(D6:D12)</f>
        <v>716324.63</v>
      </c>
      <c r="E13" s="58">
        <f t="shared" si="1"/>
        <v>2785786.45</v>
      </c>
      <c r="F13" s="58">
        <f t="shared" si="1"/>
        <v>1093224.03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5577915.91</v>
      </c>
      <c r="P13" s="156"/>
      <c r="Q13" s="154"/>
      <c r="R13" s="154"/>
      <c r="S13" s="156"/>
      <c r="T13" s="156"/>
      <c r="U13" s="156"/>
      <c r="V13" s="156"/>
    </row>
    <row r="14" spans="4:22"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ht="12.75" spans="1:22">
      <c r="A15" s="132" t="s">
        <v>363</v>
      </c>
      <c r="B15" s="132"/>
      <c r="C15" s="132"/>
      <c r="D15" s="154">
        <v>1632163.69</v>
      </c>
      <c r="E15" s="154">
        <v>2785786.45</v>
      </c>
      <c r="F15" s="6"/>
      <c r="G15" s="154"/>
      <c r="H15" s="154"/>
      <c r="I15" s="154"/>
      <c r="J15" s="154"/>
      <c r="K15" s="157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>
        <f>D15-D13-'C-安徽天孚'!D13-'C-池州天赐'!D13-'C-天祺'!D13-'C-中硝'!D13</f>
        <v>9.45874489843845e-11</v>
      </c>
      <c r="E16" s="154">
        <f>E13-E15</f>
        <v>0</v>
      </c>
      <c r="F16" s="154"/>
      <c r="G16" s="154"/>
      <c r="H16" s="154"/>
      <c r="I16" s="154"/>
      <c r="J16" s="154"/>
      <c r="K16" s="157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</row>
    <row r="17" spans="4:22">
      <c r="D17" s="154"/>
      <c r="E17" s="154"/>
      <c r="F17" s="154"/>
      <c r="G17" s="154"/>
      <c r="H17" s="154"/>
      <c r="I17" s="154"/>
      <c r="J17" s="154"/>
      <c r="K17" s="157"/>
      <c r="L17" s="154"/>
      <c r="M17" s="154"/>
      <c r="N17" s="154"/>
      <c r="O17" s="154">
        <v>793581.66</v>
      </c>
      <c r="P17" s="154"/>
      <c r="Q17" s="154"/>
      <c r="R17" s="154"/>
      <c r="S17" s="154"/>
      <c r="T17" s="154"/>
      <c r="U17" s="154"/>
      <c r="V17" s="154"/>
    </row>
    <row r="18" spans="4:22">
      <c r="D18" s="154"/>
      <c r="E18" s="154"/>
      <c r="F18" s="154"/>
      <c r="G18" s="154"/>
      <c r="H18" s="154"/>
      <c r="I18" s="154"/>
      <c r="J18" s="154"/>
      <c r="K18" s="157"/>
      <c r="L18" s="154"/>
      <c r="M18" s="154">
        <f>M13+'C-天祺'!M13</f>
        <v>0</v>
      </c>
      <c r="N18" s="154">
        <f>N13+'C-天祺'!N13</f>
        <v>0</v>
      </c>
      <c r="O18" s="154">
        <f>O17-O13</f>
        <v>-4784334.25</v>
      </c>
      <c r="P18" s="154"/>
      <c r="Q18" s="154"/>
      <c r="R18" s="154"/>
      <c r="S18" s="154"/>
      <c r="T18" s="154"/>
      <c r="U18" s="154"/>
      <c r="V18" s="154"/>
    </row>
    <row r="19" spans="4:22">
      <c r="D19" s="154"/>
      <c r="E19" s="154"/>
      <c r="F19" s="154"/>
      <c r="G19" s="154"/>
      <c r="H19" s="154"/>
      <c r="I19" s="154"/>
      <c r="J19" s="154"/>
      <c r="K19" s="157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</row>
    <row r="20" spans="4:22">
      <c r="D20" s="154"/>
      <c r="E20" s="154"/>
      <c r="F20" s="154"/>
      <c r="G20" s="154"/>
      <c r="H20" s="154"/>
      <c r="I20" s="154"/>
      <c r="J20" s="154"/>
      <c r="K20" s="157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</row>
    <row r="21" spans="4:22">
      <c r="D21" s="154"/>
      <c r="E21" s="154"/>
      <c r="F21" s="154"/>
      <c r="G21" s="154"/>
      <c r="H21" s="154"/>
      <c r="I21" s="154"/>
      <c r="J21" s="154"/>
      <c r="K21" s="157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</row>
    <row r="22" spans="4:22">
      <c r="D22" s="154"/>
      <c r="E22" s="154"/>
      <c r="F22" s="154"/>
      <c r="G22" s="154"/>
      <c r="H22" s="154"/>
      <c r="I22" s="154"/>
      <c r="J22" s="154"/>
      <c r="K22" s="157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</row>
    <row r="23" spans="4:22"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O14">
    <cfRule type="cellIs" dxfId="0" priority="2" stopIfTrue="1" operator="equal">
      <formula>"no"</formula>
    </cfRule>
    <cfRule type="cellIs" dxfId="0" priority="4" stopIfTrue="1" operator="equal">
      <formula>"no"</formula>
    </cfRule>
    <cfRule type="cellIs" dxfId="0" priority="6" stopIfTrue="1" operator="equal">
      <formula>"no"</formula>
    </cfRule>
    <cfRule type="cellIs" dxfId="0" priority="8" stopIfTrue="1" operator="equal">
      <formula>"no"</formula>
    </cfRule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5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1" stopIfTrue="1" operator="equal">
      <formula>"no"</formula>
    </cfRule>
  </conditionalFormatting>
  <conditionalFormatting sqref="$A15:$XFD15 O14">
    <cfRule type="cellIs" dxfId="0" priority="34" stopIfTrue="1" operator="equal">
      <formula>"no"</formula>
    </cfRule>
  </conditionalFormatting>
  <conditionalFormatting sqref="K16:K22 $A15:$XFD15 O14">
    <cfRule type="cellIs" dxfId="0" priority="16" stopIfTrue="1" operator="equal">
      <formula>"no"</formula>
    </cfRule>
    <cfRule type="cellIs" dxfId="0" priority="32" stopIfTrue="1" operator="equal">
      <formula>"no"</formula>
    </cfRule>
  </conditionalFormatting>
  <conditionalFormatting sqref="A15:E15 G15:J15 L15:XFD15">
    <cfRule type="cellIs" dxfId="0" priority="33" stopIfTrue="1" operator="equal">
      <formula>"no"</formula>
    </cfRule>
  </conditionalFormatting>
  <conditionalFormatting sqref="G15:J15 L15:XFD15">
    <cfRule type="cellIs" dxfId="0" priority="1" stopIfTrue="1" operator="equal">
      <formula>"no"</formula>
    </cfRule>
    <cfRule type="cellIs" dxfId="0" priority="3" stopIfTrue="1" operator="equal">
      <formula>"no"</formula>
    </cfRule>
    <cfRule type="cellIs" dxfId="0" priority="5" stopIfTrue="1" operator="equal">
      <formula>"no"</formula>
    </cfRule>
    <cfRule type="cellIs" dxfId="0" priority="7" stopIfTrue="1" operator="equal">
      <formula>"no"</formula>
    </cfRule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1" stopIfTrue="1" operator="equal">
      <formula>"no"</formula>
    </cfRule>
    <cfRule type="cellIs" dxfId="0" priority="23" stopIfTrue="1" operator="equal">
      <formula>"no"</formula>
    </cfRule>
    <cfRule type="cellIs" dxfId="0" priority="25" stopIfTrue="1" operator="equal">
      <formula>"no"</formula>
    </cfRule>
    <cfRule type="cellIs" dxfId="0" priority="27" stopIfTrue="1" operator="equal">
      <formula>"no"</formula>
    </cfRule>
    <cfRule type="cellIs" dxfId="0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23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F6" sqref="F6:F12"/>
    </sheetView>
  </sheetViews>
  <sheetFormatPr defaultColWidth="9" defaultRowHeight="13.5"/>
  <cols>
    <col min="1" max="1" width="16.25" style="153" customWidth="1"/>
    <col min="2" max="2" width="9.75" style="153" customWidth="1"/>
    <col min="3" max="14" width="14.25" style="153" customWidth="1"/>
    <col min="15" max="15" width="14.125" style="153" customWidth="1"/>
    <col min="16" max="16" width="9" style="153" customWidth="1"/>
    <col min="17" max="16384" width="9" style="153"/>
  </cols>
  <sheetData>
    <row r="1" s="114" customFormat="1" ht="28.5" customHeight="1" spans="1:16">
      <c r="A1" s="121" t="s">
        <v>371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78" customFormat="1" ht="18" customHeight="1" spans="1:1">
      <c r="A2" s="78" t="s">
        <v>373</v>
      </c>
    </row>
    <row r="3" s="149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50" customFormat="1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155"/>
      <c r="O6" s="47">
        <f>SUM(C6:N6)</f>
        <v>0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21">
        <v>-157387.52</v>
      </c>
      <c r="D7" s="21">
        <v>-165519.46</v>
      </c>
      <c r="E7" s="21">
        <v>-194941.97</v>
      </c>
      <c r="F7" s="21">
        <v>-179880.96</v>
      </c>
      <c r="G7" s="21"/>
      <c r="H7" s="21"/>
      <c r="I7" s="21"/>
      <c r="J7" s="21"/>
      <c r="K7" s="21"/>
      <c r="L7" s="21"/>
      <c r="M7" s="21"/>
      <c r="N7" s="155"/>
      <c r="O7" s="47">
        <f t="shared" ref="O7:O13" si="0">SUM(C7:N7)</f>
        <v>-697729.91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>
        <v>34384.5</v>
      </c>
      <c r="G8" s="21"/>
      <c r="H8" s="21"/>
      <c r="I8" s="21"/>
      <c r="J8" s="21"/>
      <c r="K8" s="21"/>
      <c r="L8" s="21"/>
      <c r="M8" s="21"/>
      <c r="N8" s="155"/>
      <c r="O8" s="47">
        <f t="shared" si="0"/>
        <v>34384.5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21">
        <v>557</v>
      </c>
      <c r="D9" s="21">
        <v>60</v>
      </c>
      <c r="E9" s="21">
        <v>901</v>
      </c>
      <c r="F9" s="21">
        <v>370.3</v>
      </c>
      <c r="G9" s="21"/>
      <c r="H9" s="21"/>
      <c r="I9" s="21"/>
      <c r="J9" s="21"/>
      <c r="K9" s="21"/>
      <c r="L9" s="21"/>
      <c r="M9" s="21"/>
      <c r="N9" s="155"/>
      <c r="O9" s="47">
        <f t="shared" si="0"/>
        <v>1888.3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155"/>
      <c r="O10" s="47">
        <f t="shared" si="0"/>
        <v>0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155"/>
      <c r="O11" s="47">
        <f t="shared" si="0"/>
        <v>0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155"/>
      <c r="O12" s="47">
        <f t="shared" si="0"/>
        <v>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-156830.52</v>
      </c>
      <c r="D13" s="58">
        <f t="shared" ref="D13:N13" si="1">SUM(D6:D12)</f>
        <v>-165459.46</v>
      </c>
      <c r="E13" s="58">
        <f t="shared" si="1"/>
        <v>-194040.97</v>
      </c>
      <c r="F13" s="58">
        <f t="shared" si="1"/>
        <v>-145126.16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-661457.11</v>
      </c>
      <c r="P13" s="156"/>
      <c r="Q13" s="154"/>
      <c r="R13" s="154"/>
      <c r="S13" s="156"/>
      <c r="T13" s="156"/>
      <c r="U13" s="156"/>
      <c r="V13" s="156"/>
    </row>
    <row r="14" spans="4:22"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ht="12.75" spans="1:22">
      <c r="A15" s="132" t="s">
        <v>363</v>
      </c>
      <c r="B15" s="132"/>
      <c r="C15" s="132"/>
      <c r="D15" s="154"/>
      <c r="E15" s="154"/>
      <c r="F15" s="6"/>
      <c r="G15" s="154"/>
      <c r="H15" s="154"/>
      <c r="I15" s="154"/>
      <c r="J15" s="154"/>
      <c r="K15" s="157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/>
      <c r="E16" s="154"/>
      <c r="F16" s="154"/>
      <c r="G16" s="154"/>
      <c r="H16" s="154"/>
      <c r="I16" s="154"/>
      <c r="J16" s="154"/>
      <c r="K16" s="157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</row>
    <row r="17" spans="4:22">
      <c r="D17" s="154"/>
      <c r="E17" s="154"/>
      <c r="F17" s="154"/>
      <c r="G17" s="154"/>
      <c r="H17" s="154"/>
      <c r="I17" s="154"/>
      <c r="J17" s="154"/>
      <c r="K17" s="157"/>
      <c r="L17" s="154"/>
      <c r="M17" s="154"/>
      <c r="N17" s="154"/>
      <c r="O17" s="154">
        <v>793581.66</v>
      </c>
      <c r="P17" s="154"/>
      <c r="Q17" s="154"/>
      <c r="R17" s="154"/>
      <c r="S17" s="154"/>
      <c r="T17" s="154"/>
      <c r="U17" s="154"/>
      <c r="V17" s="154"/>
    </row>
    <row r="18" spans="4:22">
      <c r="D18" s="154"/>
      <c r="E18" s="154"/>
      <c r="F18" s="154"/>
      <c r="G18" s="154"/>
      <c r="H18" s="154"/>
      <c r="I18" s="154"/>
      <c r="J18" s="154"/>
      <c r="K18" s="157"/>
      <c r="L18" s="154"/>
      <c r="M18" s="154">
        <f>M13+'C-天祺'!M13</f>
        <v>0</v>
      </c>
      <c r="N18" s="154">
        <f>N13+'C-天祺'!N13</f>
        <v>0</v>
      </c>
      <c r="O18" s="154">
        <f>O17-O13</f>
        <v>1455038.77</v>
      </c>
      <c r="P18" s="154"/>
      <c r="Q18" s="154"/>
      <c r="R18" s="154"/>
      <c r="S18" s="154"/>
      <c r="T18" s="154"/>
      <c r="U18" s="154"/>
      <c r="V18" s="154"/>
    </row>
    <row r="19" spans="4:22">
      <c r="D19" s="154"/>
      <c r="E19" s="154"/>
      <c r="F19" s="154"/>
      <c r="G19" s="154"/>
      <c r="H19" s="154"/>
      <c r="I19" s="154"/>
      <c r="J19" s="154"/>
      <c r="K19" s="157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</row>
    <row r="20" spans="4:22">
      <c r="D20" s="154"/>
      <c r="E20" s="154"/>
      <c r="F20" s="154"/>
      <c r="G20" s="154"/>
      <c r="H20" s="154"/>
      <c r="I20" s="154"/>
      <c r="J20" s="154"/>
      <c r="K20" s="157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</row>
    <row r="21" spans="4:22">
      <c r="D21" s="154"/>
      <c r="E21" s="154"/>
      <c r="F21" s="154"/>
      <c r="G21" s="154"/>
      <c r="H21" s="154"/>
      <c r="I21" s="154"/>
      <c r="J21" s="154"/>
      <c r="K21" s="157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</row>
    <row r="22" spans="4:22">
      <c r="D22" s="154"/>
      <c r="E22" s="154"/>
      <c r="F22" s="154"/>
      <c r="G22" s="154"/>
      <c r="H22" s="154"/>
      <c r="I22" s="154"/>
      <c r="J22" s="154"/>
      <c r="K22" s="157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</row>
    <row r="23" spans="4:22"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O14">
    <cfRule type="cellIs" dxfId="0" priority="2" stopIfTrue="1" operator="equal">
      <formula>"no"</formula>
    </cfRule>
    <cfRule type="cellIs" dxfId="0" priority="4" stopIfTrue="1" operator="equal">
      <formula>"no"</formula>
    </cfRule>
    <cfRule type="cellIs" dxfId="0" priority="6" stopIfTrue="1" operator="equal">
      <formula>"no"</formula>
    </cfRule>
    <cfRule type="cellIs" dxfId="0" priority="8" stopIfTrue="1" operator="equal">
      <formula>"no"</formula>
    </cfRule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5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1" stopIfTrue="1" operator="equal">
      <formula>"no"</formula>
    </cfRule>
  </conditionalFormatting>
  <conditionalFormatting sqref="$A15:$XFD15 O14">
    <cfRule type="cellIs" dxfId="0" priority="34" stopIfTrue="1" operator="equal">
      <formula>"no"</formula>
    </cfRule>
  </conditionalFormatting>
  <conditionalFormatting sqref="K16:K22 $A15:$XFD15 O14">
    <cfRule type="cellIs" dxfId="0" priority="16" stopIfTrue="1" operator="equal">
      <formula>"no"</formula>
    </cfRule>
    <cfRule type="cellIs" dxfId="0" priority="32" stopIfTrue="1" operator="equal">
      <formula>"no"</formula>
    </cfRule>
  </conditionalFormatting>
  <conditionalFormatting sqref="A15:E15 G15:J15 L15:XFD15">
    <cfRule type="cellIs" dxfId="0" priority="33" stopIfTrue="1" operator="equal">
      <formula>"no"</formula>
    </cfRule>
  </conditionalFormatting>
  <conditionalFormatting sqref="G15:J15 L15:XFD15">
    <cfRule type="cellIs" dxfId="0" priority="1" stopIfTrue="1" operator="equal">
      <formula>"no"</formula>
    </cfRule>
    <cfRule type="cellIs" dxfId="0" priority="3" stopIfTrue="1" operator="equal">
      <formula>"no"</formula>
    </cfRule>
    <cfRule type="cellIs" dxfId="0" priority="5" stopIfTrue="1" operator="equal">
      <formula>"no"</formula>
    </cfRule>
    <cfRule type="cellIs" dxfId="0" priority="7" stopIfTrue="1" operator="equal">
      <formula>"no"</formula>
    </cfRule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1" stopIfTrue="1" operator="equal">
      <formula>"no"</formula>
    </cfRule>
    <cfRule type="cellIs" dxfId="0" priority="23" stopIfTrue="1" operator="equal">
      <formula>"no"</formula>
    </cfRule>
    <cfRule type="cellIs" dxfId="0" priority="25" stopIfTrue="1" operator="equal">
      <formula>"no"</formula>
    </cfRule>
    <cfRule type="cellIs" dxfId="0" priority="27" stopIfTrue="1" operator="equal">
      <formula>"no"</formula>
    </cfRule>
    <cfRule type="cellIs" dxfId="0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23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F6" sqref="F6:F12"/>
    </sheetView>
  </sheetViews>
  <sheetFormatPr defaultColWidth="9" defaultRowHeight="13.5"/>
  <cols>
    <col min="1" max="1" width="16.25" style="153" customWidth="1"/>
    <col min="2" max="2" width="9.75" style="153" customWidth="1"/>
    <col min="3" max="14" width="14.25" style="153" customWidth="1"/>
    <col min="15" max="15" width="14.125" style="153" customWidth="1"/>
    <col min="16" max="16" width="9" style="153" customWidth="1"/>
    <col min="17" max="16384" width="9" style="153"/>
  </cols>
  <sheetData>
    <row r="1" s="114" customFormat="1" ht="28.5" customHeight="1" spans="1:16">
      <c r="A1" s="121" t="s">
        <v>371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78" customFormat="1" ht="18" customHeight="1" spans="1:1">
      <c r="A2" s="78" t="s">
        <v>374</v>
      </c>
    </row>
    <row r="3" s="149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50" customFormat="1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50" customFormat="1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108262.43</v>
      </c>
      <c r="D6" s="21">
        <v>99360.65</v>
      </c>
      <c r="E6" s="21">
        <v>101953.23</v>
      </c>
      <c r="F6" s="21">
        <v>98053.69</v>
      </c>
      <c r="G6" s="21"/>
      <c r="H6" s="21"/>
      <c r="I6" s="21"/>
      <c r="J6" s="21"/>
      <c r="K6" s="21"/>
      <c r="L6" s="21"/>
      <c r="M6" s="21"/>
      <c r="N6" s="155"/>
      <c r="O6" s="47">
        <f>SUM(C6:N6)</f>
        <v>407630</v>
      </c>
      <c r="P6" s="154"/>
      <c r="Q6" s="154"/>
      <c r="R6" s="154"/>
      <c r="S6" s="154"/>
      <c r="T6" s="154"/>
      <c r="U6" s="154"/>
      <c r="V6" s="154"/>
    </row>
    <row r="7" ht="18.75" customHeight="1" spans="1:22">
      <c r="A7" s="126"/>
      <c r="B7" s="127" t="s">
        <v>330</v>
      </c>
      <c r="C7" s="21"/>
      <c r="D7" s="21"/>
      <c r="E7" s="21">
        <v>-2508.52</v>
      </c>
      <c r="F7" s="21"/>
      <c r="G7" s="21"/>
      <c r="H7" s="21"/>
      <c r="I7" s="21"/>
      <c r="J7" s="21"/>
      <c r="K7" s="21"/>
      <c r="L7" s="21"/>
      <c r="M7" s="21"/>
      <c r="N7" s="155"/>
      <c r="O7" s="47">
        <f t="shared" ref="O7:O13" si="0">SUM(C7:N7)</f>
        <v>-2508.52</v>
      </c>
      <c r="P7" s="154"/>
      <c r="Q7" s="154"/>
      <c r="R7" s="154"/>
      <c r="S7" s="154"/>
      <c r="T7" s="154"/>
      <c r="U7" s="154"/>
      <c r="V7" s="154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155"/>
      <c r="O8" s="47">
        <f t="shared" si="0"/>
        <v>0</v>
      </c>
      <c r="P8" s="154"/>
      <c r="Q8" s="154"/>
      <c r="R8" s="154"/>
      <c r="S8" s="154"/>
      <c r="T8" s="154"/>
      <c r="U8" s="154"/>
      <c r="V8" s="154"/>
    </row>
    <row r="9" ht="18.75" customHeight="1" spans="1:22">
      <c r="A9" s="126" t="s">
        <v>332</v>
      </c>
      <c r="B9" s="127" t="s">
        <v>332</v>
      </c>
      <c r="C9" s="21">
        <v>1266.79</v>
      </c>
      <c r="D9" s="21">
        <v>660.41</v>
      </c>
      <c r="E9" s="21">
        <v>1604</v>
      </c>
      <c r="F9" s="21">
        <v>1765.79</v>
      </c>
      <c r="G9" s="21"/>
      <c r="H9" s="21"/>
      <c r="I9" s="21"/>
      <c r="J9" s="21"/>
      <c r="K9" s="21"/>
      <c r="L9" s="21"/>
      <c r="M9" s="21"/>
      <c r="N9" s="155"/>
      <c r="O9" s="47">
        <f t="shared" si="0"/>
        <v>5296.99</v>
      </c>
      <c r="P9" s="154"/>
      <c r="Q9" s="154"/>
      <c r="R9" s="154"/>
      <c r="S9" s="154"/>
      <c r="T9" s="154"/>
      <c r="U9" s="154"/>
      <c r="V9" s="154"/>
    </row>
    <row r="10" ht="18.75" customHeight="1" spans="1:22">
      <c r="A10" s="126" t="s">
        <v>333</v>
      </c>
      <c r="B10" s="127" t="s">
        <v>334</v>
      </c>
      <c r="C10" s="21">
        <v>-377.49</v>
      </c>
      <c r="D10" s="21">
        <v>-36449.82</v>
      </c>
      <c r="E10" s="21">
        <v>-24027.06</v>
      </c>
      <c r="F10" s="21"/>
      <c r="G10" s="21"/>
      <c r="H10" s="21"/>
      <c r="I10" s="21"/>
      <c r="J10" s="21"/>
      <c r="K10" s="21"/>
      <c r="L10" s="21"/>
      <c r="M10" s="21"/>
      <c r="N10" s="155"/>
      <c r="O10" s="47">
        <f t="shared" si="0"/>
        <v>-60854.37</v>
      </c>
      <c r="P10" s="154"/>
      <c r="Q10" s="154"/>
      <c r="R10" s="154"/>
      <c r="S10" s="154"/>
      <c r="T10" s="154"/>
      <c r="U10" s="154"/>
      <c r="V10" s="154"/>
    </row>
    <row r="11" ht="18.75" customHeight="1" spans="1:22">
      <c r="A11" s="126"/>
      <c r="B11" s="127" t="s">
        <v>335</v>
      </c>
      <c r="C11" s="21">
        <v>17232.26</v>
      </c>
      <c r="D11" s="21">
        <v>4259.78</v>
      </c>
      <c r="E11" s="21">
        <v>146.12</v>
      </c>
      <c r="F11" s="21">
        <v>7882.47</v>
      </c>
      <c r="G11" s="21"/>
      <c r="H11" s="21"/>
      <c r="I11" s="21"/>
      <c r="J11" s="21"/>
      <c r="K11" s="21"/>
      <c r="L11" s="21"/>
      <c r="M11" s="21"/>
      <c r="N11" s="155"/>
      <c r="O11" s="47">
        <f t="shared" si="0"/>
        <v>29520.63</v>
      </c>
      <c r="P11" s="154"/>
      <c r="Q11" s="154"/>
      <c r="R11" s="154"/>
      <c r="S11" s="154"/>
      <c r="T11" s="154"/>
      <c r="U11" s="154"/>
      <c r="V11" s="154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155"/>
      <c r="O12" s="47">
        <f t="shared" si="0"/>
        <v>0</v>
      </c>
      <c r="P12" s="154"/>
      <c r="Q12" s="154"/>
      <c r="R12" s="154"/>
      <c r="S12" s="154"/>
      <c r="T12" s="154"/>
      <c r="U12" s="154"/>
      <c r="V12" s="154"/>
    </row>
    <row r="13" s="151" customFormat="1" ht="24.75" customHeight="1" spans="1:22">
      <c r="A13" s="128" t="s">
        <v>336</v>
      </c>
      <c r="B13" s="129"/>
      <c r="C13" s="58">
        <f>SUM(C6:C12)</f>
        <v>126383.99</v>
      </c>
      <c r="D13" s="58">
        <f t="shared" ref="D13:N13" si="1">SUM(D6:D12)</f>
        <v>67831.02</v>
      </c>
      <c r="E13" s="58">
        <f t="shared" si="1"/>
        <v>77167.77</v>
      </c>
      <c r="F13" s="58">
        <f t="shared" si="1"/>
        <v>107701.95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379084.73</v>
      </c>
      <c r="P13" s="156"/>
      <c r="Q13" s="154"/>
      <c r="R13" s="154"/>
      <c r="S13" s="156"/>
      <c r="T13" s="156"/>
      <c r="U13" s="156"/>
      <c r="V13" s="156"/>
    </row>
    <row r="14" spans="4:22"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</row>
    <row r="15" s="152" customFormat="1" ht="12.75" spans="1:22">
      <c r="A15" s="132" t="s">
        <v>363</v>
      </c>
      <c r="B15" s="132"/>
      <c r="C15" s="132"/>
      <c r="D15" s="154"/>
      <c r="E15" s="154"/>
      <c r="F15" s="6"/>
      <c r="G15" s="154"/>
      <c r="H15" s="154"/>
      <c r="I15" s="154"/>
      <c r="J15" s="154"/>
      <c r="K15" s="157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</row>
    <row r="16" spans="4:22">
      <c r="D16" s="154"/>
      <c r="E16" s="154"/>
      <c r="F16" s="154"/>
      <c r="G16" s="154"/>
      <c r="H16" s="154"/>
      <c r="I16" s="154"/>
      <c r="J16" s="154"/>
      <c r="K16" s="157">
        <f>K13+'C-天祺'!K13</f>
        <v>0</v>
      </c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</row>
    <row r="17" spans="4:22">
      <c r="D17" s="154"/>
      <c r="E17" s="154"/>
      <c r="F17" s="154"/>
      <c r="G17" s="154"/>
      <c r="H17" s="154"/>
      <c r="I17" s="154"/>
      <c r="J17" s="154"/>
      <c r="K17" s="157"/>
      <c r="L17" s="154"/>
      <c r="M17" s="154"/>
      <c r="N17" s="154"/>
      <c r="O17" s="154">
        <v>793581.66</v>
      </c>
      <c r="P17" s="154"/>
      <c r="Q17" s="154"/>
      <c r="R17" s="154"/>
      <c r="S17" s="154"/>
      <c r="T17" s="154"/>
      <c r="U17" s="154"/>
      <c r="V17" s="154"/>
    </row>
    <row r="18" spans="4:22">
      <c r="D18" s="154"/>
      <c r="E18" s="154"/>
      <c r="F18" s="154"/>
      <c r="G18" s="154"/>
      <c r="H18" s="154"/>
      <c r="I18" s="154"/>
      <c r="J18" s="154"/>
      <c r="K18" s="157"/>
      <c r="L18" s="154"/>
      <c r="M18" s="154">
        <f>M13+'C-天祺'!M13</f>
        <v>0</v>
      </c>
      <c r="N18" s="154">
        <f>N13+'C-天祺'!N13</f>
        <v>0</v>
      </c>
      <c r="O18" s="154">
        <f>O17-O13</f>
        <v>414496.93</v>
      </c>
      <c r="P18" s="154"/>
      <c r="Q18" s="154"/>
      <c r="R18" s="154"/>
      <c r="S18" s="154"/>
      <c r="T18" s="154"/>
      <c r="U18" s="154"/>
      <c r="V18" s="154"/>
    </row>
    <row r="19" spans="4:22">
      <c r="D19" s="154"/>
      <c r="E19" s="154"/>
      <c r="F19" s="154"/>
      <c r="G19" s="154"/>
      <c r="H19" s="154"/>
      <c r="I19" s="154"/>
      <c r="J19" s="154"/>
      <c r="K19" s="157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</row>
    <row r="20" spans="4:22">
      <c r="D20" s="154"/>
      <c r="E20" s="154"/>
      <c r="F20" s="154"/>
      <c r="G20" s="154"/>
      <c r="H20" s="154"/>
      <c r="I20" s="154"/>
      <c r="J20" s="154"/>
      <c r="K20" s="157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</row>
    <row r="21" spans="4:22">
      <c r="D21" s="154"/>
      <c r="E21" s="154"/>
      <c r="F21" s="154"/>
      <c r="G21" s="154"/>
      <c r="H21" s="154"/>
      <c r="I21" s="154"/>
      <c r="J21" s="154"/>
      <c r="K21" s="157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</row>
    <row r="22" spans="4:22">
      <c r="D22" s="154"/>
      <c r="E22" s="154"/>
      <c r="F22" s="154"/>
      <c r="G22" s="154"/>
      <c r="H22" s="154"/>
      <c r="I22" s="154"/>
      <c r="J22" s="154"/>
      <c r="K22" s="157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</row>
    <row r="23" spans="4:22"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O14">
    <cfRule type="cellIs" dxfId="0" priority="2" stopIfTrue="1" operator="equal">
      <formula>"no"</formula>
    </cfRule>
    <cfRule type="cellIs" dxfId="0" priority="4" stopIfTrue="1" operator="equal">
      <formula>"no"</formula>
    </cfRule>
    <cfRule type="cellIs" dxfId="0" priority="6" stopIfTrue="1" operator="equal">
      <formula>"no"</formula>
    </cfRule>
    <cfRule type="cellIs" dxfId="0" priority="8" stopIfTrue="1" operator="equal">
      <formula>"no"</formula>
    </cfRule>
    <cfRule type="cellIs" dxfId="0" priority="10" stopIfTrue="1" operator="equal">
      <formula>"no"</formula>
    </cfRule>
    <cfRule type="cellIs" dxfId="0" priority="12" stopIfTrue="1" operator="equal">
      <formula>"no"</formula>
    </cfRule>
    <cfRule type="cellIs" dxfId="0" priority="14" stopIfTrue="1" operator="equal">
      <formula>"no"</formula>
    </cfRule>
    <cfRule type="cellIs" dxfId="0" priority="15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2" stopIfTrue="1" operator="equal">
      <formula>"no"</formula>
    </cfRule>
    <cfRule type="cellIs" dxfId="0" priority="24" stopIfTrue="1" operator="equal">
      <formula>"no"</formula>
    </cfRule>
    <cfRule type="cellIs" dxfId="0" priority="26" stopIfTrue="1" operator="equal">
      <formula>"no"</formula>
    </cfRule>
    <cfRule type="cellIs" dxfId="0" priority="28" stopIfTrue="1" operator="equal">
      <formula>"no"</formula>
    </cfRule>
    <cfRule type="cellIs" dxfId="0" priority="30" stopIfTrue="1" operator="equal">
      <formula>"no"</formula>
    </cfRule>
    <cfRule type="cellIs" dxfId="0" priority="31" stopIfTrue="1" operator="equal">
      <formula>"no"</formula>
    </cfRule>
  </conditionalFormatting>
  <conditionalFormatting sqref="$A15:$XFD15 O14">
    <cfRule type="cellIs" dxfId="0" priority="34" stopIfTrue="1" operator="equal">
      <formula>"no"</formula>
    </cfRule>
  </conditionalFormatting>
  <conditionalFormatting sqref="K16:K22 $A15:$XFD15 O14">
    <cfRule type="cellIs" dxfId="0" priority="16" stopIfTrue="1" operator="equal">
      <formula>"no"</formula>
    </cfRule>
    <cfRule type="cellIs" dxfId="0" priority="32" stopIfTrue="1" operator="equal">
      <formula>"no"</formula>
    </cfRule>
  </conditionalFormatting>
  <conditionalFormatting sqref="A15:E15 G15:J15 L15:XFD15">
    <cfRule type="cellIs" dxfId="0" priority="33" stopIfTrue="1" operator="equal">
      <formula>"no"</formula>
    </cfRule>
  </conditionalFormatting>
  <conditionalFormatting sqref="G15:J15 L15:XFD15">
    <cfRule type="cellIs" dxfId="0" priority="1" stopIfTrue="1" operator="equal">
      <formula>"no"</formula>
    </cfRule>
    <cfRule type="cellIs" dxfId="0" priority="3" stopIfTrue="1" operator="equal">
      <formula>"no"</formula>
    </cfRule>
    <cfRule type="cellIs" dxfId="0" priority="5" stopIfTrue="1" operator="equal">
      <formula>"no"</formula>
    </cfRule>
    <cfRule type="cellIs" dxfId="0" priority="7" stopIfTrue="1" operator="equal">
      <formula>"no"</formula>
    </cfRule>
    <cfRule type="cellIs" dxfId="0" priority="9" stopIfTrue="1" operator="equal">
      <formula>"no"</formula>
    </cfRule>
    <cfRule type="cellIs" dxfId="0" priority="11" stopIfTrue="1" operator="equal">
      <formula>"no"</formula>
    </cfRule>
    <cfRule type="cellIs" dxfId="0" priority="13" stopIfTrue="1" operator="equal">
      <formula>"no"</formula>
    </cfRule>
    <cfRule type="cellIs" dxfId="0" priority="17" stopIfTrue="1" operator="equal">
      <formula>"no"</formula>
    </cfRule>
    <cfRule type="cellIs" dxfId="0" priority="19" stopIfTrue="1" operator="equal">
      <formula>"no"</formula>
    </cfRule>
    <cfRule type="cellIs" dxfId="0" priority="21" stopIfTrue="1" operator="equal">
      <formula>"no"</formula>
    </cfRule>
    <cfRule type="cellIs" dxfId="0" priority="23" stopIfTrue="1" operator="equal">
      <formula>"no"</formula>
    </cfRule>
    <cfRule type="cellIs" dxfId="0" priority="25" stopIfTrue="1" operator="equal">
      <formula>"no"</formula>
    </cfRule>
    <cfRule type="cellIs" dxfId="0" priority="27" stopIfTrue="1" operator="equal">
      <formula>"no"</formula>
    </cfRule>
    <cfRule type="cellIs" dxfId="0" priority="29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U25"/>
  <sheetViews>
    <sheetView workbookViewId="0">
      <selection activeCell="F6" sqref="F6:F12"/>
    </sheetView>
  </sheetViews>
  <sheetFormatPr defaultColWidth="9" defaultRowHeight="12.75"/>
  <cols>
    <col min="1" max="1" width="16.25" style="143" customWidth="1"/>
    <col min="2" max="2" width="12.5" style="143" customWidth="1"/>
    <col min="3" max="3" width="13.625" style="143" customWidth="1"/>
    <col min="4" max="5" width="14.25" style="143" customWidth="1"/>
    <col min="6" max="6" width="11.5" style="143" customWidth="1"/>
    <col min="7" max="7" width="11.875" style="143" customWidth="1"/>
    <col min="8" max="11" width="11.5" style="143" customWidth="1"/>
    <col min="12" max="14" width="12.75" style="143" customWidth="1"/>
    <col min="15" max="15" width="5.75" style="143" customWidth="1"/>
    <col min="16" max="16384" width="9" style="143"/>
  </cols>
  <sheetData>
    <row r="1" s="114" customFormat="1" ht="28.5" customHeight="1" spans="1:15">
      <c r="A1" s="144" t="s">
        <v>327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</row>
    <row r="2" s="115" customFormat="1" ht="18" customHeight="1" spans="1:1">
      <c r="A2" s="72" t="s">
        <v>375</v>
      </c>
    </row>
    <row r="3" s="3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40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40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1">
      <c r="A6" s="126" t="s">
        <v>328</v>
      </c>
      <c r="B6" s="127" t="s">
        <v>329</v>
      </c>
      <c r="C6" s="21" t="s">
        <v>376</v>
      </c>
      <c r="D6" s="21" t="s">
        <v>362</v>
      </c>
      <c r="E6" s="21">
        <v>0</v>
      </c>
      <c r="F6" s="21">
        <v>0</v>
      </c>
      <c r="G6" s="21"/>
      <c r="I6" s="21"/>
      <c r="J6" s="21"/>
      <c r="K6" s="21"/>
      <c r="L6" s="21"/>
      <c r="M6" s="21"/>
      <c r="N6" s="21"/>
      <c r="O6" s="47">
        <f>SUM(C6:N6)</f>
        <v>0</v>
      </c>
      <c r="P6" s="145"/>
      <c r="Q6" s="145"/>
      <c r="R6" s="145"/>
      <c r="S6" s="145"/>
      <c r="T6" s="145"/>
      <c r="U6" s="145"/>
    </row>
    <row r="7" ht="18.75" customHeight="1" spans="1:21">
      <c r="A7" s="126"/>
      <c r="B7" s="127" t="s">
        <v>330</v>
      </c>
      <c r="C7" s="21" t="s">
        <v>376</v>
      </c>
      <c r="D7" s="21" t="s">
        <v>362</v>
      </c>
      <c r="E7" s="21">
        <v>-2678.9</v>
      </c>
      <c r="F7" s="21">
        <v>0</v>
      </c>
      <c r="G7" s="21"/>
      <c r="I7" s="21"/>
      <c r="J7" s="21"/>
      <c r="K7" s="21"/>
      <c r="L7" s="21"/>
      <c r="M7" s="21"/>
      <c r="N7" s="21"/>
      <c r="O7" s="47">
        <f t="shared" ref="O7:O13" si="0">SUM(C7:N7)</f>
        <v>-2678.9</v>
      </c>
      <c r="P7" s="145"/>
      <c r="Q7" s="145"/>
      <c r="R7" s="145"/>
      <c r="S7" s="145"/>
      <c r="T7" s="145"/>
      <c r="U7" s="145"/>
    </row>
    <row r="8" ht="18.75" customHeight="1" spans="1:21">
      <c r="A8" s="126" t="s">
        <v>331</v>
      </c>
      <c r="B8" s="127" t="s">
        <v>331</v>
      </c>
      <c r="C8" s="21" t="s">
        <v>376</v>
      </c>
      <c r="D8" s="21" t="s">
        <v>362</v>
      </c>
      <c r="E8" s="21">
        <v>0</v>
      </c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45"/>
      <c r="Q8" s="145"/>
      <c r="R8" s="145"/>
      <c r="S8" s="145"/>
      <c r="T8" s="145"/>
      <c r="U8" s="145"/>
    </row>
    <row r="9" ht="18.75" customHeight="1" spans="1:21">
      <c r="A9" s="126" t="s">
        <v>332</v>
      </c>
      <c r="B9" s="127" t="s">
        <v>332</v>
      </c>
      <c r="C9" s="21">
        <v>440</v>
      </c>
      <c r="D9" s="21">
        <v>27</v>
      </c>
      <c r="E9" s="21">
        <v>454</v>
      </c>
      <c r="F9" s="21">
        <v>167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1088</v>
      </c>
      <c r="P9" s="145"/>
      <c r="Q9" s="145"/>
      <c r="R9" s="145"/>
      <c r="S9" s="145"/>
      <c r="T9" s="145"/>
      <c r="U9" s="145"/>
    </row>
    <row r="10" ht="18.75" customHeight="1" spans="1:21">
      <c r="A10" s="126" t="s">
        <v>333</v>
      </c>
      <c r="B10" s="127" t="s">
        <v>334</v>
      </c>
      <c r="C10" s="21">
        <v>-1287.37</v>
      </c>
      <c r="D10" s="21">
        <v>-3795.13</v>
      </c>
      <c r="E10" s="21">
        <v>0</v>
      </c>
      <c r="F10" s="21">
        <v>0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-5082.5</v>
      </c>
      <c r="P10" s="145"/>
      <c r="Q10" s="145"/>
      <c r="R10" s="145"/>
      <c r="S10" s="145"/>
      <c r="T10" s="145"/>
      <c r="U10" s="145"/>
    </row>
    <row r="11" ht="18.75" customHeight="1" spans="1:21">
      <c r="A11" s="126"/>
      <c r="B11" s="127" t="s">
        <v>335</v>
      </c>
      <c r="C11" s="21">
        <v>5053.97</v>
      </c>
      <c r="D11" s="21">
        <v>-1685.97</v>
      </c>
      <c r="E11" s="21">
        <v>-3368</v>
      </c>
      <c r="F11" s="21">
        <v>4101.4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4101.4</v>
      </c>
      <c r="P11" s="145"/>
      <c r="Q11" s="145"/>
      <c r="R11" s="145"/>
      <c r="S11" s="145"/>
      <c r="T11" s="145"/>
      <c r="U11" s="145"/>
    </row>
    <row r="12" ht="18.75" customHeight="1" spans="1:21">
      <c r="A12" s="126" t="s">
        <v>173</v>
      </c>
      <c r="B12" s="127" t="s">
        <v>173</v>
      </c>
      <c r="C12" s="21" t="s">
        <v>376</v>
      </c>
      <c r="D12" s="21"/>
      <c r="E12" s="21">
        <v>0</v>
      </c>
      <c r="F12" s="21">
        <v>0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45"/>
      <c r="Q12" s="145"/>
      <c r="R12" s="145"/>
      <c r="S12" s="145"/>
      <c r="T12" s="145"/>
      <c r="U12" s="145"/>
    </row>
    <row r="13" s="141" customFormat="1" ht="24.75" customHeight="1" spans="1:21">
      <c r="A13" s="128" t="s">
        <v>336</v>
      </c>
      <c r="B13" s="129"/>
      <c r="C13" s="58">
        <f>SUM(C6:C12)</f>
        <v>4206.6</v>
      </c>
      <c r="D13" s="58">
        <f t="shared" ref="D13:N13" si="1">SUM(D6:D12)</f>
        <v>-5454.1</v>
      </c>
      <c r="E13" s="58">
        <f t="shared" si="1"/>
        <v>-5592.9</v>
      </c>
      <c r="F13" s="58">
        <f t="shared" si="1"/>
        <v>4268.4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-2572</v>
      </c>
      <c r="P13" s="148"/>
      <c r="Q13" s="148"/>
      <c r="R13" s="148"/>
      <c r="S13" s="148"/>
      <c r="T13" s="148"/>
      <c r="U13" s="148"/>
    </row>
    <row r="14" spans="3:21">
      <c r="C14" s="145"/>
      <c r="D14" s="145">
        <v>-5454.1</v>
      </c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</row>
    <row r="15" s="142" customFormat="1" spans="1:21">
      <c r="A15" s="132"/>
      <c r="B15" s="132"/>
      <c r="C15" s="146"/>
      <c r="D15" s="146"/>
      <c r="E15" s="146"/>
      <c r="F15" s="145"/>
      <c r="G15" s="145"/>
      <c r="H15" s="146"/>
      <c r="I15" s="146"/>
      <c r="J15" s="146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</row>
    <row r="16" ht="14.25" spans="1:21">
      <c r="A16" s="147"/>
      <c r="B16" s="147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</row>
    <row r="17" ht="14.25" spans="1:21">
      <c r="A17" s="147"/>
      <c r="B17" s="147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</row>
    <row r="18" ht="14.25" spans="1:21">
      <c r="A18" s="147"/>
      <c r="B18" s="147"/>
      <c r="C18" s="145"/>
      <c r="D18" s="145"/>
      <c r="E18" s="145"/>
      <c r="F18" s="145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</row>
    <row r="19" ht="14.25" spans="1:21">
      <c r="A19" s="147"/>
      <c r="B19" s="147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</row>
    <row r="20" ht="14.25" spans="1:21">
      <c r="A20" s="147"/>
      <c r="B20" s="147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</row>
    <row r="21" ht="14.25" spans="1:21">
      <c r="A21" s="147"/>
      <c r="B21" s="147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</row>
    <row r="22" ht="14.25" spans="1:21">
      <c r="A22" s="147"/>
      <c r="B22" s="147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</row>
    <row r="23" ht="14.25" spans="1:21">
      <c r="A23" s="147"/>
      <c r="B23" s="147"/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</row>
    <row r="24" ht="14.25" spans="1:2">
      <c r="A24" s="147"/>
      <c r="B24" s="147"/>
    </row>
    <row r="25" ht="14.25" spans="1:2">
      <c r="A25" s="147"/>
      <c r="B25" s="147"/>
    </row>
  </sheetData>
  <mergeCells count="9">
    <mergeCell ref="A1:O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N14">
    <cfRule type="cellIs" dxfId="0" priority="1" stopIfTrue="1" operator="equal">
      <formula>"no"</formula>
    </cfRule>
  </conditionalFormatting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19" sqref="F19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377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-1205.89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-1205.89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>
        <v>478</v>
      </c>
      <c r="D9" s="21">
        <v>238</v>
      </c>
      <c r="E9" s="21">
        <v>1036</v>
      </c>
      <c r="F9" s="21">
        <v>364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2116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478</v>
      </c>
      <c r="D13" s="58">
        <f t="shared" ref="D13:N13" si="1">SUM(D6:D12)</f>
        <v>238</v>
      </c>
      <c r="E13" s="58">
        <f t="shared" si="1"/>
        <v>-169.89</v>
      </c>
      <c r="F13" s="58">
        <f t="shared" si="1"/>
        <v>364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910.11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238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5" right="0.75" top="1" bottom="1" header="0.5" footer="0.5"/>
  <pageSetup paperSize="9"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21" sqref="F21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378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-865.5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-865.5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8</v>
      </c>
      <c r="D9" s="21">
        <v>4</v>
      </c>
      <c r="E9" s="21">
        <v>4</v>
      </c>
      <c r="F9" s="21">
        <v>204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220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8</v>
      </c>
      <c r="D13" s="58">
        <f t="shared" ref="D13:N13" si="1">SUM(D6:D12)</f>
        <v>4</v>
      </c>
      <c r="E13" s="58">
        <f t="shared" si="1"/>
        <v>-861.5</v>
      </c>
      <c r="F13" s="58">
        <f t="shared" si="1"/>
        <v>204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-645.5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4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J20" sqref="J20:K22"/>
    </sheetView>
  </sheetViews>
  <sheetFormatPr defaultColWidth="9" defaultRowHeight="12.75"/>
  <cols>
    <col min="1" max="1" width="16.25" style="120" customWidth="1"/>
    <col min="2" max="2" width="9.75" style="120" customWidth="1"/>
    <col min="3" max="7" width="14.25" style="120" customWidth="1"/>
    <col min="8" max="8" width="22.5" style="120" customWidth="1"/>
    <col min="9" max="9" width="15" style="120" customWidth="1"/>
    <col min="10" max="14" width="14.25" style="120" customWidth="1"/>
    <col min="15" max="15" width="11.75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379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142941</v>
      </c>
      <c r="D6" s="21">
        <v>133719</v>
      </c>
      <c r="E6" s="21">
        <v>142941</v>
      </c>
      <c r="F6" s="21">
        <v>138330</v>
      </c>
      <c r="G6" s="21"/>
      <c r="H6" s="21"/>
      <c r="I6" s="21"/>
      <c r="J6" s="21"/>
      <c r="K6" s="21"/>
      <c r="L6" s="21"/>
      <c r="M6" s="21"/>
      <c r="N6" s="21"/>
      <c r="O6" s="47">
        <f>SUM(C6:N6)</f>
        <v>557931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-4.56</v>
      </c>
      <c r="F7" s="21">
        <v>-0.18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-4.74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5</v>
      </c>
      <c r="D9" s="21"/>
      <c r="E9" s="21">
        <v>5</v>
      </c>
      <c r="F9" s="21">
        <v>10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20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>
        <v>120</v>
      </c>
      <c r="D12" s="21">
        <v>100</v>
      </c>
      <c r="E12" s="21">
        <v>1122</v>
      </c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1342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143066</v>
      </c>
      <c r="D13" s="58">
        <f t="shared" ref="D13:N13" si="1">SUM(D6:D12)</f>
        <v>133819</v>
      </c>
      <c r="E13" s="58">
        <f t="shared" si="1"/>
        <v>144063.44</v>
      </c>
      <c r="F13" s="58">
        <f t="shared" si="1"/>
        <v>138339.82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559288.26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ht="13.5" spans="4:22">
      <c r="D17" s="130"/>
      <c r="E17" s="130"/>
      <c r="F17" s="134"/>
      <c r="G17" s="131"/>
      <c r="H17"/>
      <c r="I17"/>
      <c r="J17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ht="13.5" spans="4:22">
      <c r="D18" s="130"/>
      <c r="E18" s="130"/>
      <c r="F18" s="130"/>
      <c r="G18" s="131"/>
      <c r="H18" s="138"/>
      <c r="I18" s="139"/>
      <c r="J18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ht="13.5" spans="4:22">
      <c r="D19" s="130"/>
      <c r="E19" s="130"/>
      <c r="F19" s="130"/>
      <c r="G19" s="131"/>
      <c r="H19" s="138"/>
      <c r="I19" s="139"/>
      <c r="J19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ht="13.5" spans="4:22">
      <c r="D20" s="130"/>
      <c r="E20" s="130"/>
      <c r="F20" s="130"/>
      <c r="G20" s="131"/>
      <c r="H20" s="138"/>
      <c r="I20" s="139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ht="13.5" spans="4:22">
      <c r="D21" s="130"/>
      <c r="E21" s="130"/>
      <c r="F21" s="130"/>
      <c r="G21" s="131"/>
      <c r="H21" s="138"/>
      <c r="I21" s="139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ht="13.5" spans="4:22">
      <c r="D22" s="130"/>
      <c r="E22" s="130"/>
      <c r="F22" s="130"/>
      <c r="G22" s="131"/>
      <c r="H22" s="138"/>
      <c r="I22" s="139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ht="13.5" spans="4:22">
      <c r="D23" s="130"/>
      <c r="E23" s="130"/>
      <c r="F23" s="130"/>
      <c r="G23" s="131"/>
      <c r="H23" s="138"/>
      <c r="I23" s="139"/>
      <c r="J23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ht="13.5" spans="7:10">
      <c r="G24" s="135"/>
      <c r="H24" s="138"/>
      <c r="I24" s="139"/>
      <c r="J24"/>
    </row>
    <row r="25" ht="13.5" spans="7:10">
      <c r="G25" s="135"/>
      <c r="H25"/>
      <c r="I25"/>
      <c r="J25"/>
    </row>
    <row r="26" ht="13.5" spans="7:10">
      <c r="G26" s="135"/>
      <c r="H26"/>
      <c r="I26"/>
      <c r="J26"/>
    </row>
    <row r="27" ht="13.5" spans="7:10">
      <c r="G27" s="135"/>
      <c r="H27"/>
      <c r="I27"/>
      <c r="J27"/>
    </row>
    <row r="28" ht="13.5" spans="7:10">
      <c r="G28" s="135"/>
      <c r="H28"/>
      <c r="I28"/>
      <c r="J28"/>
    </row>
    <row r="29" ht="13.5" spans="7:10">
      <c r="G29" s="135"/>
      <c r="H29"/>
      <c r="I29"/>
      <c r="J29"/>
    </row>
    <row r="30" ht="13.5" spans="7:10">
      <c r="G30" s="135"/>
      <c r="H30"/>
      <c r="I30"/>
      <c r="J30"/>
    </row>
    <row r="31" ht="13.5" spans="7:10">
      <c r="G31" s="135"/>
      <c r="H31"/>
      <c r="I31"/>
      <c r="J31"/>
    </row>
    <row r="32" ht="13.5" spans="7:10">
      <c r="G32" s="135"/>
      <c r="H32"/>
      <c r="I32"/>
      <c r="J32"/>
    </row>
    <row r="33" ht="13.5" spans="7:10">
      <c r="G33" s="135"/>
      <c r="H33"/>
      <c r="I33"/>
      <c r="J33"/>
    </row>
    <row r="34" ht="13.5" spans="7:10">
      <c r="G34" s="135"/>
      <c r="H34"/>
      <c r="I34"/>
      <c r="J34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F6" sqref="F6:F11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380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-2001.39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-2001.39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>
        <v>141598.95</v>
      </c>
      <c r="D8" s="21">
        <v>47552.08</v>
      </c>
      <c r="E8" s="21">
        <v>48132</v>
      </c>
      <c r="F8" s="21">
        <v>34412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271695.03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>
        <v>508.8</v>
      </c>
      <c r="D9" s="21">
        <v>162</v>
      </c>
      <c r="E9" s="21">
        <v>19502.1</v>
      </c>
      <c r="F9" s="21">
        <v>366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20538.9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142107.75</v>
      </c>
      <c r="D13" s="58">
        <f t="shared" ref="D13:N13" si="1">SUM(D6:D12)</f>
        <v>47714.08</v>
      </c>
      <c r="E13" s="58">
        <f t="shared" si="1"/>
        <v>65632.71</v>
      </c>
      <c r="F13" s="58">
        <f t="shared" si="1"/>
        <v>34778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290232.54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47714.08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F19" sqref="F19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381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>
        <v>0</v>
      </c>
      <c r="E6" s="21">
        <v>0</v>
      </c>
      <c r="F6" s="21">
        <v>0</v>
      </c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>
        <v>0</v>
      </c>
      <c r="E7" s="21">
        <v>-1647.92</v>
      </c>
      <c r="F7" s="21">
        <v>0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-1647.92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>
        <v>0</v>
      </c>
      <c r="E8" s="21">
        <v>0</v>
      </c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20.25" customHeight="1" spans="1:22">
      <c r="A9" s="126" t="s">
        <v>332</v>
      </c>
      <c r="B9" s="127" t="s">
        <v>332</v>
      </c>
      <c r="C9" s="21">
        <v>34</v>
      </c>
      <c r="D9" s="21">
        <v>32.2</v>
      </c>
      <c r="E9" s="21">
        <v>36.2</v>
      </c>
      <c r="F9" s="21">
        <v>230.4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332.8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>
        <v>0</v>
      </c>
      <c r="E10" s="21">
        <v>0</v>
      </c>
      <c r="F10" s="21">
        <v>0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>
        <v>0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>
        <v>0</v>
      </c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34</v>
      </c>
      <c r="D13" s="58">
        <f t="shared" ref="D13:N13" si="1">SUM(D6:D12)</f>
        <v>32.2</v>
      </c>
      <c r="E13" s="58">
        <f t="shared" si="1"/>
        <v>-1611.72</v>
      </c>
      <c r="F13" s="58">
        <f t="shared" si="1"/>
        <v>230.4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-1315.12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F17" sqref="F17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382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>
        <v>54.03</v>
      </c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54.03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>
        <v>-27.71</v>
      </c>
      <c r="D7" s="21">
        <v>-47.46</v>
      </c>
      <c r="E7" s="21">
        <v>-548.28</v>
      </c>
      <c r="F7" s="21">
        <v>-175.93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-799.38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>
        <v>2887.07</v>
      </c>
      <c r="D9" s="21">
        <v>5543.43</v>
      </c>
      <c r="E9" s="21">
        <v>2634.38</v>
      </c>
      <c r="F9" s="21">
        <v>5351.07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16415.95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>
        <v>-72352.49</v>
      </c>
      <c r="D10" s="21">
        <v>-86933.4</v>
      </c>
      <c r="E10" s="21">
        <v>-338417.33</v>
      </c>
      <c r="F10" s="21">
        <v>105606.76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-392096.46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>
        <v>185957.16</v>
      </c>
      <c r="D11" s="21">
        <v>-95276.2199999999</v>
      </c>
      <c r="E11" s="21">
        <v>55584.08</v>
      </c>
      <c r="F11" s="21">
        <v>3747.25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150012.27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116464.03</v>
      </c>
      <c r="D13" s="58">
        <f t="shared" ref="D13:N13" si="1">SUM(D6:D12)</f>
        <v>-176713.65</v>
      </c>
      <c r="E13" s="58">
        <f t="shared" si="1"/>
        <v>-280693.12</v>
      </c>
      <c r="F13" s="58">
        <f t="shared" si="1"/>
        <v>114529.15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-226413.59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>
        <v>-176713.65</v>
      </c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E6" activePane="bottomRight" state="frozen"/>
      <selection/>
      <selection pane="topRight"/>
      <selection pane="bottomLeft"/>
      <selection pane="bottomRight" activeCell="B14" sqref="B14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383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>
        <v>879822.58</v>
      </c>
      <c r="D6" s="21">
        <v>895708.95</v>
      </c>
      <c r="E6" s="21">
        <v>920049.95</v>
      </c>
      <c r="F6" s="21">
        <v>916745.03</v>
      </c>
      <c r="G6" s="21"/>
      <c r="H6" s="21"/>
      <c r="I6" s="21"/>
      <c r="J6" s="21"/>
      <c r="K6" s="21"/>
      <c r="L6" s="21"/>
      <c r="M6" s="21"/>
      <c r="N6" s="21"/>
      <c r="O6" s="47">
        <f>SUM(C6:N6)</f>
        <v>3612326.51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 t="s">
        <v>362</v>
      </c>
      <c r="E7" s="21">
        <v>-1971.98</v>
      </c>
      <c r="F7" s="21">
        <v>0</v>
      </c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-1971.98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 t="s">
        <v>362</v>
      </c>
      <c r="E8" s="21">
        <v>0</v>
      </c>
      <c r="F8" s="21">
        <v>0</v>
      </c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>
        <v>760.61</v>
      </c>
      <c r="D9" s="21">
        <v>210</v>
      </c>
      <c r="E9" s="21">
        <v>399</v>
      </c>
      <c r="F9" s="21">
        <v>930967.16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932336.77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 t="s">
        <v>362</v>
      </c>
      <c r="E10" s="21">
        <v>0</v>
      </c>
      <c r="F10" s="21">
        <v>0</v>
      </c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 t="s">
        <v>362</v>
      </c>
      <c r="E11" s="21">
        <v>0</v>
      </c>
      <c r="F11" s="21">
        <v>0</v>
      </c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>
        <v>133647.8</v>
      </c>
      <c r="D12" s="21">
        <v>167550.7</v>
      </c>
      <c r="E12" s="21">
        <v>-301198.5</v>
      </c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1014230.99</v>
      </c>
      <c r="D13" s="58">
        <f t="shared" ref="D13:N13" si="1">SUM(D6:D12)</f>
        <v>1063469.65</v>
      </c>
      <c r="E13" s="58">
        <f t="shared" si="1"/>
        <v>617278.47</v>
      </c>
      <c r="F13" s="58">
        <f t="shared" si="1"/>
        <v>1847712.19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4542691.3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>
        <v>1014230.99</v>
      </c>
      <c r="D15" s="133"/>
      <c r="E15" s="133">
        <v>617278.47</v>
      </c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3:22">
      <c r="C16" s="120">
        <f>C13-C15</f>
        <v>0</v>
      </c>
      <c r="D16" s="130"/>
      <c r="E16" s="130">
        <f>E13-E15</f>
        <v>0</v>
      </c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E15" sqref="E15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384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0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/>
      <c r="D9" s="21"/>
      <c r="E9" s="21"/>
      <c r="F9" s="21">
        <v>977.54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977.54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0</v>
      </c>
      <c r="D13" s="58">
        <f t="shared" ref="D13:N13" si="1">SUM(D6:D12)</f>
        <v>0</v>
      </c>
      <c r="E13" s="58">
        <f t="shared" si="1"/>
        <v>0</v>
      </c>
      <c r="F13" s="58">
        <f t="shared" si="1"/>
        <v>977.54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977.54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V92"/>
  <sheetViews>
    <sheetView workbookViewId="0">
      <pane xSplit="2" ySplit="5" topLeftCell="C6" activePane="bottomRight" state="frozen"/>
      <selection/>
      <selection pane="topRight"/>
      <selection pane="bottomLeft"/>
      <selection pane="bottomRight" activeCell="D21" sqref="D21"/>
    </sheetView>
  </sheetViews>
  <sheetFormatPr defaultColWidth="9" defaultRowHeight="12.75"/>
  <cols>
    <col min="1" max="1" width="16.25" style="120" customWidth="1"/>
    <col min="2" max="2" width="9.75" style="120" customWidth="1"/>
    <col min="3" max="14" width="14.25" style="120" customWidth="1"/>
    <col min="15" max="15" width="9" style="120" customWidth="1"/>
    <col min="16" max="16384" width="9" style="120"/>
  </cols>
  <sheetData>
    <row r="1" s="114" customFormat="1" ht="28.5" customHeight="1" spans="1:16">
      <c r="A1" s="121" t="s">
        <v>360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</row>
    <row r="2" s="115" customFormat="1" ht="18" customHeight="1" spans="1:1">
      <c r="A2" s="122" t="s">
        <v>385</v>
      </c>
    </row>
    <row r="3" s="116" customFormat="1" ht="15" customHeight="1" spans="1:15">
      <c r="A3" s="123" t="str">
        <f>'G-高新'!A3</f>
        <v>编制期间：2020年4月</v>
      </c>
      <c r="B3" s="123"/>
      <c r="C3" s="123"/>
      <c r="D3" s="123"/>
      <c r="E3" s="123"/>
      <c r="F3" s="123"/>
      <c r="G3" s="124" t="s">
        <v>361</v>
      </c>
      <c r="H3" s="124"/>
      <c r="I3" s="124"/>
      <c r="J3" s="123"/>
      <c r="K3" s="123"/>
      <c r="L3" s="123"/>
      <c r="M3" s="123"/>
      <c r="N3" s="136"/>
      <c r="O3" s="136"/>
    </row>
    <row r="4" s="117" customFormat="1" ht="13.5" customHeight="1" spans="1:15">
      <c r="A4" s="125" t="s">
        <v>66</v>
      </c>
      <c r="B4" s="125" t="s">
        <v>67</v>
      </c>
      <c r="C4" s="16" t="s">
        <v>68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45" t="s">
        <v>12</v>
      </c>
    </row>
    <row r="5" s="117" customFormat="1" ht="13.5" customHeight="1" spans="1:15">
      <c r="A5" s="125"/>
      <c r="B5" s="125"/>
      <c r="C5" s="17" t="str">
        <f>YEAR(封面!$H$15)&amp;"年1月"</f>
        <v>2020年1月</v>
      </c>
      <c r="D5" s="17" t="str">
        <f>YEAR(封面!$H$15)&amp;"年2月"</f>
        <v>2020年2月</v>
      </c>
      <c r="E5" s="17" t="str">
        <f>YEAR(封面!$H$15)&amp;"年3月"</f>
        <v>2020年3月</v>
      </c>
      <c r="F5" s="17" t="str">
        <f>YEAR(封面!$H$15)&amp;"年4月"</f>
        <v>2020年4月</v>
      </c>
      <c r="G5" s="17" t="str">
        <f>YEAR(封面!$H$15)&amp;"年5月"</f>
        <v>2020年5月</v>
      </c>
      <c r="H5" s="17" t="str">
        <f>YEAR(封面!$H$15)&amp;"年6月"</f>
        <v>2020年6月</v>
      </c>
      <c r="I5" s="17" t="str">
        <f>YEAR(封面!$H$15)&amp;"年7月"</f>
        <v>2020年7月</v>
      </c>
      <c r="J5" s="17" t="str">
        <f>YEAR(封面!$H$15)&amp;"年8月"</f>
        <v>2020年8月</v>
      </c>
      <c r="K5" s="17" t="str">
        <f>YEAR(封面!$H$15)&amp;"年9月"</f>
        <v>2020年9月</v>
      </c>
      <c r="L5" s="17" t="str">
        <f>YEAR(封面!$H$15)&amp;"年10月"</f>
        <v>2020年10月</v>
      </c>
      <c r="M5" s="17" t="str">
        <f>YEAR(封面!$H$15)&amp;"年11月"</f>
        <v>2020年11月</v>
      </c>
      <c r="N5" s="17" t="str">
        <f>YEAR(封面!$H$15)&amp;"年12月"</f>
        <v>2020年12月</v>
      </c>
      <c r="O5" s="45"/>
    </row>
    <row r="6" ht="18.75" customHeight="1" spans="1:22">
      <c r="A6" s="126" t="s">
        <v>328</v>
      </c>
      <c r="B6" s="127" t="s">
        <v>329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47">
        <f>SUM(C6:N6)</f>
        <v>0</v>
      </c>
      <c r="P6" s="130"/>
      <c r="Q6" s="130"/>
      <c r="R6" s="130"/>
      <c r="S6" s="130"/>
      <c r="T6" s="130"/>
      <c r="U6" s="130"/>
      <c r="V6" s="130"/>
    </row>
    <row r="7" ht="18.75" customHeight="1" spans="1:22">
      <c r="A7" s="126"/>
      <c r="B7" s="127" t="s">
        <v>330</v>
      </c>
      <c r="C7" s="21"/>
      <c r="D7" s="21"/>
      <c r="E7" s="21">
        <v>-3065.2</v>
      </c>
      <c r="F7" s="21"/>
      <c r="G7" s="21"/>
      <c r="H7" s="21"/>
      <c r="I7" s="21"/>
      <c r="J7" s="21"/>
      <c r="K7" s="21"/>
      <c r="L7" s="21"/>
      <c r="M7" s="21"/>
      <c r="N7" s="21"/>
      <c r="O7" s="47">
        <f t="shared" ref="O7:O13" si="0">SUM(C7:N7)</f>
        <v>-3065.2</v>
      </c>
      <c r="P7" s="130"/>
      <c r="Q7" s="130"/>
      <c r="R7" s="130"/>
      <c r="S7" s="130"/>
      <c r="T7" s="130"/>
      <c r="U7" s="130"/>
      <c r="V7" s="130"/>
    </row>
    <row r="8" ht="18.75" customHeight="1" spans="1:22">
      <c r="A8" s="126" t="s">
        <v>331</v>
      </c>
      <c r="B8" s="127" t="s">
        <v>331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47">
        <f t="shared" si="0"/>
        <v>0</v>
      </c>
      <c r="P8" s="130"/>
      <c r="Q8" s="130"/>
      <c r="R8" s="130"/>
      <c r="S8" s="130"/>
      <c r="T8" s="130"/>
      <c r="U8" s="130"/>
      <c r="V8" s="130"/>
    </row>
    <row r="9" ht="18.75" customHeight="1" spans="1:22">
      <c r="A9" s="126" t="s">
        <v>332</v>
      </c>
      <c r="B9" s="127" t="s">
        <v>332</v>
      </c>
      <c r="C9" s="21"/>
      <c r="D9" s="21"/>
      <c r="E9" s="21">
        <v>4427.3</v>
      </c>
      <c r="F9" s="21">
        <v>331</v>
      </c>
      <c r="G9" s="21"/>
      <c r="H9" s="21"/>
      <c r="I9" s="21"/>
      <c r="J9" s="21"/>
      <c r="K9" s="21"/>
      <c r="L9" s="21"/>
      <c r="M9" s="21"/>
      <c r="N9" s="21"/>
      <c r="O9" s="47">
        <f t="shared" si="0"/>
        <v>4758.3</v>
      </c>
      <c r="P9" s="130"/>
      <c r="Q9" s="130"/>
      <c r="R9" s="130"/>
      <c r="S9" s="130"/>
      <c r="T9" s="130"/>
      <c r="U9" s="130"/>
      <c r="V9" s="130"/>
    </row>
    <row r="10" ht="18.75" customHeight="1" spans="1:22">
      <c r="A10" s="126" t="s">
        <v>333</v>
      </c>
      <c r="B10" s="127" t="s">
        <v>334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47">
        <f t="shared" si="0"/>
        <v>0</v>
      </c>
      <c r="P10" s="130"/>
      <c r="Q10" s="130"/>
      <c r="R10" s="130"/>
      <c r="S10" s="130"/>
      <c r="T10" s="130"/>
      <c r="U10" s="130"/>
      <c r="V10" s="130"/>
    </row>
    <row r="11" ht="18.75" customHeight="1" spans="1:22">
      <c r="A11" s="126"/>
      <c r="B11" s="127" t="s">
        <v>335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47">
        <f t="shared" si="0"/>
        <v>0</v>
      </c>
      <c r="P11" s="130"/>
      <c r="Q11" s="130"/>
      <c r="R11" s="130"/>
      <c r="S11" s="130"/>
      <c r="T11" s="130"/>
      <c r="U11" s="130"/>
      <c r="V11" s="130"/>
    </row>
    <row r="12" ht="18.75" customHeight="1" spans="1:22">
      <c r="A12" s="126" t="s">
        <v>173</v>
      </c>
      <c r="B12" s="127" t="s">
        <v>173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47">
        <f t="shared" si="0"/>
        <v>0</v>
      </c>
      <c r="P12" s="130"/>
      <c r="Q12" s="130"/>
      <c r="R12" s="130"/>
      <c r="S12" s="130"/>
      <c r="T12" s="130"/>
      <c r="U12" s="130"/>
      <c r="V12" s="130"/>
    </row>
    <row r="13" s="118" customFormat="1" ht="24.75" customHeight="1" spans="1:22">
      <c r="A13" s="128" t="s">
        <v>336</v>
      </c>
      <c r="B13" s="129"/>
      <c r="C13" s="58">
        <f>SUM(C6:C12)</f>
        <v>0</v>
      </c>
      <c r="D13" s="58">
        <f t="shared" ref="D13:N13" si="1">SUM(D6:D12)</f>
        <v>0</v>
      </c>
      <c r="E13" s="58">
        <f t="shared" si="1"/>
        <v>1362.1</v>
      </c>
      <c r="F13" s="58">
        <f t="shared" si="1"/>
        <v>331</v>
      </c>
      <c r="G13" s="58">
        <f t="shared" si="1"/>
        <v>0</v>
      </c>
      <c r="H13" s="58">
        <f t="shared" si="1"/>
        <v>0</v>
      </c>
      <c r="I13" s="58">
        <f t="shared" si="1"/>
        <v>0</v>
      </c>
      <c r="J13" s="58">
        <f t="shared" si="1"/>
        <v>0</v>
      </c>
      <c r="K13" s="58">
        <f t="shared" si="1"/>
        <v>0</v>
      </c>
      <c r="L13" s="58">
        <f t="shared" si="1"/>
        <v>0</v>
      </c>
      <c r="M13" s="58">
        <f t="shared" si="1"/>
        <v>0</v>
      </c>
      <c r="N13" s="58">
        <f t="shared" si="1"/>
        <v>0</v>
      </c>
      <c r="O13" s="47">
        <f t="shared" si="0"/>
        <v>1693.1</v>
      </c>
      <c r="P13" s="137"/>
      <c r="Q13" s="137"/>
      <c r="R13" s="137"/>
      <c r="S13" s="137"/>
      <c r="T13" s="137"/>
      <c r="U13" s="137"/>
      <c r="V13" s="137"/>
    </row>
    <row r="14" spans="4:22">
      <c r="D14" s="130"/>
      <c r="E14" s="130"/>
      <c r="F14" s="130"/>
      <c r="G14" s="131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</row>
    <row r="15" s="119" customFormat="1" spans="1:22">
      <c r="A15" s="132" t="s">
        <v>363</v>
      </c>
      <c r="B15" s="132"/>
      <c r="C15" s="132"/>
      <c r="D15" s="133"/>
      <c r="E15" s="133"/>
      <c r="F15" s="133"/>
      <c r="G15" s="131"/>
      <c r="H15" s="130"/>
      <c r="I15" s="133"/>
      <c r="J15" s="133"/>
      <c r="K15" s="133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</row>
    <row r="16" spans="4:22">
      <c r="D16" s="130"/>
      <c r="E16" s="130"/>
      <c r="F16" s="130"/>
      <c r="G16" s="131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</row>
    <row r="17" spans="4:22">
      <c r="D17" s="130"/>
      <c r="E17" s="130"/>
      <c r="F17" s="134"/>
      <c r="G17" s="131"/>
      <c r="H17" s="130"/>
      <c r="I17" s="130"/>
      <c r="J17" s="130"/>
      <c r="K17" s="134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</row>
    <row r="18" spans="4:22">
      <c r="D18" s="130"/>
      <c r="E18" s="130"/>
      <c r="F18" s="130"/>
      <c r="G18" s="131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</row>
    <row r="19" spans="4:22">
      <c r="D19" s="130"/>
      <c r="E19" s="130"/>
      <c r="F19" s="130"/>
      <c r="G19" s="131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</row>
    <row r="20" spans="4:22">
      <c r="D20" s="130"/>
      <c r="E20" s="130"/>
      <c r="F20" s="130"/>
      <c r="G20" s="131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</row>
    <row r="21" spans="4:22">
      <c r="D21" s="130"/>
      <c r="E21" s="130"/>
      <c r="F21" s="130"/>
      <c r="G21" s="131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</row>
    <row r="22" spans="4:22">
      <c r="D22" s="130"/>
      <c r="E22" s="130"/>
      <c r="F22" s="130"/>
      <c r="G22" s="131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</row>
    <row r="23" spans="4:22">
      <c r="D23" s="130"/>
      <c r="E23" s="130"/>
      <c r="F23" s="130"/>
      <c r="G23" s="131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</row>
    <row r="24" spans="7:7">
      <c r="G24" s="135"/>
    </row>
    <row r="25" spans="7:7">
      <c r="G25" s="135"/>
    </row>
    <row r="26" spans="7:7">
      <c r="G26" s="135"/>
    </row>
    <row r="27" spans="7:7">
      <c r="G27" s="135"/>
    </row>
    <row r="28" spans="7:7">
      <c r="G28" s="135"/>
    </row>
    <row r="29" spans="7:7">
      <c r="G29" s="135"/>
    </row>
    <row r="30" spans="7:7">
      <c r="G30" s="135"/>
    </row>
    <row r="31" spans="7:7">
      <c r="G31" s="135"/>
    </row>
    <row r="32" spans="7:7">
      <c r="G32" s="135"/>
    </row>
    <row r="33" spans="7:7">
      <c r="G33" s="135"/>
    </row>
    <row r="34" spans="7:7">
      <c r="G34" s="135"/>
    </row>
    <row r="35" spans="7:7">
      <c r="G35" s="135"/>
    </row>
    <row r="36" spans="7:7">
      <c r="G36" s="135"/>
    </row>
    <row r="37" spans="7:7">
      <c r="G37" s="135"/>
    </row>
    <row r="38" spans="7:7">
      <c r="G38" s="135"/>
    </row>
    <row r="39" spans="7:7">
      <c r="G39" s="135"/>
    </row>
    <row r="40" spans="7:7">
      <c r="G40" s="135"/>
    </row>
    <row r="41" spans="7:7">
      <c r="G41" s="135"/>
    </row>
    <row r="42" spans="7:7">
      <c r="G42" s="135"/>
    </row>
    <row r="43" spans="7:7">
      <c r="G43" s="135"/>
    </row>
    <row r="44" spans="7:7">
      <c r="G44" s="135"/>
    </row>
    <row r="45" spans="7:7">
      <c r="G45" s="135"/>
    </row>
    <row r="46" spans="7:7">
      <c r="G46" s="135"/>
    </row>
    <row r="47" spans="7:7">
      <c r="G47" s="135"/>
    </row>
    <row r="48" spans="7:7">
      <c r="G48" s="135"/>
    </row>
    <row r="49" spans="7:7">
      <c r="G49" s="135"/>
    </row>
    <row r="50" spans="7:7">
      <c r="G50" s="135"/>
    </row>
    <row r="51" spans="7:7">
      <c r="G51" s="135"/>
    </row>
    <row r="52" spans="7:7">
      <c r="G52" s="135"/>
    </row>
    <row r="53" spans="7:7">
      <c r="G53" s="135"/>
    </row>
    <row r="54" spans="7:7">
      <c r="G54" s="135"/>
    </row>
    <row r="55" spans="7:7">
      <c r="G55" s="135"/>
    </row>
    <row r="56" spans="7:7">
      <c r="G56" s="135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>
        <v>0</v>
      </c>
    </row>
  </sheetData>
  <mergeCells count="9">
    <mergeCell ref="A1:P1"/>
    <mergeCell ref="N3:O3"/>
    <mergeCell ref="C4:N4"/>
    <mergeCell ref="A13:B13"/>
    <mergeCell ref="A4:A5"/>
    <mergeCell ref="A6:A7"/>
    <mergeCell ref="A10:A11"/>
    <mergeCell ref="B4:B5"/>
    <mergeCell ref="O4:O5"/>
  </mergeCells>
  <conditionalFormatting sqref="$A15:$XFD15 O14">
    <cfRule type="cellIs" dxfId="0" priority="3" stopIfTrue="1" operator="equal">
      <formula>"no"</formula>
    </cfRule>
  </conditionalFormatting>
  <conditionalFormatting sqref="A15:IV15 O14">
    <cfRule type="cellIs" dxfId="0" priority="1" stopIfTrue="1" operator="equal">
      <formula>"no"</formula>
    </cfRule>
  </conditionalFormatting>
  <conditionalFormatting sqref="A15:E15 G15:J15 L15:XFD15">
    <cfRule type="cellIs" dxfId="0" priority="2" stopIfTrue="1" operator="equal">
      <formula>"no"</formula>
    </cfRule>
  </conditionalFormatting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T128"/>
  <sheetViews>
    <sheetView workbookViewId="0">
      <pane xSplit="3" ySplit="5" topLeftCell="D81" activePane="bottomRight" state="frozen"/>
      <selection/>
      <selection pane="topRight"/>
      <selection pane="bottomLeft"/>
      <selection pane="bottomRight" activeCell="F104" sqref="F104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7.625" style="10" customWidth="1"/>
    <col min="5" max="5" width="16.75" style="10" customWidth="1"/>
    <col min="6" max="15" width="14.25" style="10" customWidth="1"/>
    <col min="16" max="16" width="16" style="10" customWidth="1"/>
    <col min="17" max="17" width="19.5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386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D3" s="3">
        <v>10000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97">
        <v>43831</v>
      </c>
      <c r="E5" s="97">
        <v>43862</v>
      </c>
      <c r="F5" s="97">
        <v>43892</v>
      </c>
      <c r="G5" s="97">
        <v>43924</v>
      </c>
      <c r="H5" s="97">
        <v>43955</v>
      </c>
      <c r="I5" s="97">
        <v>43987</v>
      </c>
      <c r="J5" s="97">
        <v>44018</v>
      </c>
      <c r="K5" s="97">
        <v>44050</v>
      </c>
      <c r="L5" s="97">
        <v>44082</v>
      </c>
      <c r="M5" s="97">
        <v>44113</v>
      </c>
      <c r="N5" s="97">
        <v>44145</v>
      </c>
      <c r="O5" s="97">
        <v>44176</v>
      </c>
      <c r="P5" s="45"/>
    </row>
    <row r="6" s="5" customFormat="1" ht="17.25" customHeight="1" spans="1:20">
      <c r="A6" s="18" t="s">
        <v>69</v>
      </c>
      <c r="B6" s="19" t="s">
        <v>70</v>
      </c>
      <c r="C6" s="20" t="s">
        <v>70</v>
      </c>
      <c r="D6" s="21">
        <f>SUM('Z-高新:Z-中天鸿锂'!D6)</f>
        <v>8030845.05</v>
      </c>
      <c r="E6" s="21">
        <f>SUM('Z-高新:Z-中天鸿锂'!E6)</f>
        <v>6388795.42</v>
      </c>
      <c r="F6" s="21">
        <f>SUM('Z-高新:Z-中天鸿锂'!F6)</f>
        <v>7300398.08</v>
      </c>
      <c r="G6" s="21">
        <f>SUM('Z-高新:Z-中天鸿锂'!G6)</f>
        <v>9068160.5</v>
      </c>
      <c r="H6" s="21">
        <f>SUM('Z-高新:Z-中天鸿锂'!H6)</f>
        <v>0</v>
      </c>
      <c r="I6" s="21">
        <f>SUM('Z-高新:Z-中天鸿锂'!I6)</f>
        <v>0</v>
      </c>
      <c r="J6" s="21">
        <f>SUM('Z-高新:Z-中天鸿锂'!J6)</f>
        <v>0</v>
      </c>
      <c r="K6" s="21">
        <f>SUM('Z-高新:Z-中天鸿锂'!K6)</f>
        <v>0</v>
      </c>
      <c r="L6" s="21">
        <f>SUM('Z-高新:Z-中天鸿锂'!L6)</f>
        <v>0</v>
      </c>
      <c r="M6" s="21">
        <f>SUM('Z-高新:Z-中天鸿锂'!M6)</f>
        <v>0</v>
      </c>
      <c r="N6" s="21">
        <f>SUM('Z-高新:Z-中天鸿锂'!N6)</f>
        <v>0</v>
      </c>
      <c r="O6" s="21">
        <f>SUM('Z-高新:Z-中天鸿锂'!O6)</f>
        <v>0</v>
      </c>
      <c r="P6" s="47">
        <f>SUM(D6:O6)</f>
        <v>30788199.05</v>
      </c>
      <c r="Q6" s="48" t="e">
        <f>D6-'Z-美思'!D6-'Z-宜春天赐'!D6-'Z-上海吉慕特'!D6-'Z-张家港吉慕特'!D6-'Z-高新'!D6-'Z-天祺'!D6-'Z-九江'!D6-'Z-天津'!D6-'Z-宁德'!D6-#REF!-'Z-池州天赐'!D6-'Z-有机硅'!D6-'Z-安徽天孚'!D6-'Z-中硝'!D6</f>
        <v>#REF!</v>
      </c>
      <c r="T6" s="48"/>
    </row>
    <row r="7" s="5" customFormat="1" ht="17.25" customHeight="1" spans="1:20">
      <c r="A7" s="22"/>
      <c r="B7" s="23"/>
      <c r="C7" s="20" t="s">
        <v>71</v>
      </c>
      <c r="D7" s="21">
        <f>SUM('Z-高新:Z-中天鸿锂'!D7)</f>
        <v>689918.01</v>
      </c>
      <c r="E7" s="21">
        <f>SUM('Z-高新:Z-中天鸿锂'!E7)</f>
        <v>366527.6</v>
      </c>
      <c r="F7" s="21">
        <f>SUM('Z-高新:Z-中天鸿锂'!F7)</f>
        <v>409624.73</v>
      </c>
      <c r="G7" s="21">
        <f>SUM('Z-高新:Z-中天鸿锂'!G7)</f>
        <v>640320.14</v>
      </c>
      <c r="H7" s="21">
        <f>SUM('Z-高新:Z-中天鸿锂'!H7)</f>
        <v>0</v>
      </c>
      <c r="I7" s="21">
        <f>SUM('Z-高新:Z-中天鸿锂'!I7)</f>
        <v>0</v>
      </c>
      <c r="J7" s="21">
        <f>SUM('Z-高新:Z-中天鸿锂'!J7)</f>
        <v>0</v>
      </c>
      <c r="K7" s="21">
        <f>SUM('Z-高新:Z-中天鸿锂'!K7)</f>
        <v>0</v>
      </c>
      <c r="L7" s="21">
        <f>SUM('Z-高新:Z-中天鸿锂'!L7)</f>
        <v>0</v>
      </c>
      <c r="M7" s="21">
        <f>SUM('Z-高新:Z-中天鸿锂'!M7)</f>
        <v>0</v>
      </c>
      <c r="N7" s="21">
        <f>SUM('Z-高新:Z-中天鸿锂'!N7)</f>
        <v>0</v>
      </c>
      <c r="O7" s="21">
        <f>SUM('Z-高新:Z-中天鸿锂'!O7)</f>
        <v>0</v>
      </c>
      <c r="P7" s="47">
        <f t="shared" ref="P7:P70" si="0">SUM(D7:O7)</f>
        <v>2106390.48</v>
      </c>
      <c r="T7" s="48"/>
    </row>
    <row r="8" s="5" customFormat="1" ht="17.25" customHeight="1" spans="1:20">
      <c r="A8" s="22"/>
      <c r="B8" s="19" t="s">
        <v>72</v>
      </c>
      <c r="C8" s="20" t="s">
        <v>72</v>
      </c>
      <c r="D8" s="21">
        <f>SUM('Z-高新:Z-中天鸿锂'!D8)</f>
        <v>125665.73</v>
      </c>
      <c r="E8" s="21">
        <f>SUM('Z-高新:Z-中天鸿锂'!E8)</f>
        <v>76248.76</v>
      </c>
      <c r="F8" s="21">
        <f>SUM('Z-高新:Z-中天鸿锂'!F8)</f>
        <v>266213.32</v>
      </c>
      <c r="G8" s="21">
        <f>SUM('Z-高新:Z-中天鸿锂'!G8)</f>
        <v>14627.9</v>
      </c>
      <c r="H8" s="21">
        <f>SUM('Z-高新:Z-中天鸿锂'!H8)</f>
        <v>0</v>
      </c>
      <c r="I8" s="21">
        <f>SUM('Z-高新:Z-中天鸿锂'!I8)</f>
        <v>0</v>
      </c>
      <c r="J8" s="21">
        <f>SUM('Z-高新:Z-中天鸿锂'!J8)</f>
        <v>0</v>
      </c>
      <c r="K8" s="21">
        <f>SUM('Z-高新:Z-中天鸿锂'!K8)</f>
        <v>0</v>
      </c>
      <c r="L8" s="21">
        <f>SUM('Z-高新:Z-中天鸿锂'!L8)</f>
        <v>0</v>
      </c>
      <c r="M8" s="21">
        <f>SUM('Z-高新:Z-中天鸿锂'!M8)</f>
        <v>0</v>
      </c>
      <c r="N8" s="21">
        <f>SUM('Z-高新:Z-中天鸿锂'!N8)</f>
        <v>0</v>
      </c>
      <c r="O8" s="21">
        <f>SUM('Z-高新:Z-中天鸿锂'!O8)</f>
        <v>0</v>
      </c>
      <c r="P8" s="47">
        <f t="shared" si="0"/>
        <v>482755.71</v>
      </c>
      <c r="T8" s="48"/>
    </row>
    <row r="9" s="5" customFormat="1" ht="17.25" customHeight="1" spans="1:20">
      <c r="A9" s="22"/>
      <c r="B9" s="19" t="s">
        <v>73</v>
      </c>
      <c r="C9" s="20" t="s">
        <v>73</v>
      </c>
      <c r="D9" s="21">
        <f>SUM('Z-高新:Z-中天鸿锂'!D9)</f>
        <v>0</v>
      </c>
      <c r="E9" s="21">
        <f>SUM('Z-高新:Z-中天鸿锂'!E9)</f>
        <v>0</v>
      </c>
      <c r="F9" s="21">
        <f>SUM('Z-高新:Z-中天鸿锂'!F9)</f>
        <v>0</v>
      </c>
      <c r="G9" s="21">
        <f>SUM('Z-高新:Z-中天鸿锂'!G9)</f>
        <v>0</v>
      </c>
      <c r="H9" s="21">
        <f>SUM('Z-高新:Z-中天鸿锂'!H9)</f>
        <v>0</v>
      </c>
      <c r="I9" s="21">
        <f>SUM('Z-高新:Z-中天鸿锂'!I9)</f>
        <v>0</v>
      </c>
      <c r="J9" s="21">
        <f>SUM('Z-高新:Z-中天鸿锂'!J9)</f>
        <v>0</v>
      </c>
      <c r="K9" s="21">
        <f>SUM('Z-高新:Z-中天鸿锂'!K9)</f>
        <v>0</v>
      </c>
      <c r="L9" s="21">
        <f>SUM('Z-高新:Z-中天鸿锂'!L9)</f>
        <v>0</v>
      </c>
      <c r="M9" s="21">
        <f>SUM('Z-高新:Z-中天鸿锂'!M9)</f>
        <v>0</v>
      </c>
      <c r="N9" s="21">
        <f>SUM('Z-高新:Z-中天鸿锂'!N9)</f>
        <v>0</v>
      </c>
      <c r="O9" s="21">
        <f>SUM('Z-高新:Z-中天鸿锂'!O9)</f>
        <v>0</v>
      </c>
      <c r="P9" s="47">
        <f t="shared" si="0"/>
        <v>0</v>
      </c>
      <c r="T9" s="48"/>
    </row>
    <row r="10" s="5" customFormat="1" ht="17.25" customHeight="1" spans="1:20">
      <c r="A10" s="22"/>
      <c r="B10" s="19" t="s">
        <v>74</v>
      </c>
      <c r="C10" s="20" t="s">
        <v>75</v>
      </c>
      <c r="D10" s="21">
        <f>SUM('Z-高新:Z-中天鸿锂'!D10)</f>
        <v>0</v>
      </c>
      <c r="E10" s="21">
        <f>SUM('Z-高新:Z-中天鸿锂'!E10)</f>
        <v>0</v>
      </c>
      <c r="F10" s="21">
        <f>SUM('Z-高新:Z-中天鸿锂'!F10)</f>
        <v>0</v>
      </c>
      <c r="G10" s="21">
        <f>SUM('Z-高新:Z-中天鸿锂'!G10)</f>
        <v>0</v>
      </c>
      <c r="H10" s="21">
        <f>SUM('Z-高新:Z-中天鸿锂'!H10)</f>
        <v>0</v>
      </c>
      <c r="I10" s="21">
        <f>SUM('Z-高新:Z-中天鸿锂'!I10)</f>
        <v>0</v>
      </c>
      <c r="J10" s="21">
        <f>SUM('Z-高新:Z-中天鸿锂'!J10)</f>
        <v>0</v>
      </c>
      <c r="K10" s="21">
        <f>SUM('Z-高新:Z-中天鸿锂'!K10)</f>
        <v>0</v>
      </c>
      <c r="L10" s="21">
        <f>SUM('Z-高新:Z-中天鸿锂'!L10)</f>
        <v>0</v>
      </c>
      <c r="M10" s="21">
        <f>SUM('Z-高新:Z-中天鸿锂'!M10)</f>
        <v>0</v>
      </c>
      <c r="N10" s="21">
        <f>SUM('Z-高新:Z-中天鸿锂'!N10)</f>
        <v>0</v>
      </c>
      <c r="O10" s="21">
        <f>SUM('Z-高新:Z-中天鸿锂'!O10)</f>
        <v>0</v>
      </c>
      <c r="P10" s="47">
        <f t="shared" si="0"/>
        <v>0</v>
      </c>
      <c r="T10" s="48"/>
    </row>
    <row r="11" s="5" customFormat="1" ht="17.25" customHeight="1" spans="1:20">
      <c r="A11" s="22"/>
      <c r="B11" s="24"/>
      <c r="C11" s="25" t="s">
        <v>76</v>
      </c>
      <c r="D11" s="21">
        <f>SUM('Z-高新:Z-中天鸿锂'!D11)</f>
        <v>8355.96</v>
      </c>
      <c r="E11" s="21">
        <f>SUM('Z-高新:Z-中天鸿锂'!E11)</f>
        <v>4367</v>
      </c>
      <c r="F11" s="21">
        <f>SUM('Z-高新:Z-中天鸿锂'!F11)</f>
        <v>4268</v>
      </c>
      <c r="G11" s="21">
        <f>SUM('Z-高新:Z-中天鸿锂'!G11)</f>
        <v>3875</v>
      </c>
      <c r="H11" s="21">
        <f>SUM('Z-高新:Z-中天鸿锂'!H11)</f>
        <v>0</v>
      </c>
      <c r="I11" s="21">
        <f>SUM('Z-高新:Z-中天鸿锂'!I11)</f>
        <v>0</v>
      </c>
      <c r="J11" s="21">
        <f>SUM('Z-高新:Z-中天鸿锂'!J11)</f>
        <v>0</v>
      </c>
      <c r="K11" s="21">
        <f>SUM('Z-高新:Z-中天鸿锂'!K11)</f>
        <v>0</v>
      </c>
      <c r="L11" s="21">
        <f>SUM('Z-高新:Z-中天鸿锂'!L11)</f>
        <v>0</v>
      </c>
      <c r="M11" s="21">
        <f>SUM('Z-高新:Z-中天鸿锂'!M11)</f>
        <v>0</v>
      </c>
      <c r="N11" s="21">
        <f>SUM('Z-高新:Z-中天鸿锂'!N11)</f>
        <v>0</v>
      </c>
      <c r="O11" s="21">
        <f>SUM('Z-高新:Z-中天鸿锂'!O11)</f>
        <v>0</v>
      </c>
      <c r="P11" s="47">
        <f t="shared" si="0"/>
        <v>20865.96</v>
      </c>
      <c r="T11" s="48"/>
    </row>
    <row r="12" s="5" customFormat="1" ht="17.25" customHeight="1" spans="1:20">
      <c r="A12" s="22"/>
      <c r="B12" s="24"/>
      <c r="C12" s="20" t="s">
        <v>77</v>
      </c>
      <c r="D12" s="21">
        <f>SUM('Z-高新:Z-中天鸿锂'!D12)</f>
        <v>0</v>
      </c>
      <c r="E12" s="21">
        <f>SUM('Z-高新:Z-中天鸿锂'!E12)</f>
        <v>0</v>
      </c>
      <c r="F12" s="21">
        <f>SUM('Z-高新:Z-中天鸿锂'!F12)</f>
        <v>74440</v>
      </c>
      <c r="G12" s="21">
        <f>SUM('Z-高新:Z-中天鸿锂'!G12)</f>
        <v>40465</v>
      </c>
      <c r="H12" s="21">
        <f>SUM('Z-高新:Z-中天鸿锂'!H12)</f>
        <v>0</v>
      </c>
      <c r="I12" s="21">
        <f>SUM('Z-高新:Z-中天鸿锂'!I12)</f>
        <v>0</v>
      </c>
      <c r="J12" s="21">
        <f>SUM('Z-高新:Z-中天鸿锂'!J12)</f>
        <v>0</v>
      </c>
      <c r="K12" s="21">
        <f>SUM('Z-高新:Z-中天鸿锂'!K12)</f>
        <v>0</v>
      </c>
      <c r="L12" s="21">
        <f>SUM('Z-高新:Z-中天鸿锂'!L12)</f>
        <v>0</v>
      </c>
      <c r="M12" s="21">
        <f>SUM('Z-高新:Z-中天鸿锂'!M12)</f>
        <v>0</v>
      </c>
      <c r="N12" s="21">
        <f>SUM('Z-高新:Z-中天鸿锂'!N12)</f>
        <v>0</v>
      </c>
      <c r="O12" s="21">
        <f>SUM('Z-高新:Z-中天鸿锂'!O12)</f>
        <v>0</v>
      </c>
      <c r="P12" s="47">
        <f t="shared" si="0"/>
        <v>114905</v>
      </c>
      <c r="T12" s="48"/>
    </row>
    <row r="13" s="5" customFormat="1" ht="17.25" customHeight="1" spans="1:20">
      <c r="A13" s="22"/>
      <c r="B13" s="24"/>
      <c r="C13" s="25" t="s">
        <v>78</v>
      </c>
      <c r="D13" s="21">
        <f>SUM('Z-高新:Z-中天鸿锂'!D13)</f>
        <v>1614</v>
      </c>
      <c r="E13" s="21">
        <f>SUM('Z-高新:Z-中天鸿锂'!E13)</f>
        <v>9.5</v>
      </c>
      <c r="F13" s="21">
        <f>SUM('Z-高新:Z-中天鸿锂'!F13)</f>
        <v>66</v>
      </c>
      <c r="G13" s="21">
        <f>SUM('Z-高新:Z-中天鸿锂'!G13)</f>
        <v>1047.86</v>
      </c>
      <c r="H13" s="21">
        <f>SUM('Z-高新:Z-中天鸿锂'!H13)</f>
        <v>0</v>
      </c>
      <c r="I13" s="21">
        <f>SUM('Z-高新:Z-中天鸿锂'!I13)</f>
        <v>0</v>
      </c>
      <c r="J13" s="21">
        <f>SUM('Z-高新:Z-中天鸿锂'!J13)</f>
        <v>0</v>
      </c>
      <c r="K13" s="21">
        <f>SUM('Z-高新:Z-中天鸿锂'!K13)</f>
        <v>0</v>
      </c>
      <c r="L13" s="21">
        <f>SUM('Z-高新:Z-中天鸿锂'!L13)</f>
        <v>0</v>
      </c>
      <c r="M13" s="21">
        <f>SUM('Z-高新:Z-中天鸿锂'!M13)</f>
        <v>0</v>
      </c>
      <c r="N13" s="21">
        <f>SUM('Z-高新:Z-中天鸿锂'!N13)</f>
        <v>0</v>
      </c>
      <c r="O13" s="21">
        <f>SUM('Z-高新:Z-中天鸿锂'!O13)</f>
        <v>0</v>
      </c>
      <c r="P13" s="47">
        <f t="shared" si="0"/>
        <v>2737.36</v>
      </c>
      <c r="T13" s="48"/>
    </row>
    <row r="14" s="5" customFormat="1" ht="17.25" customHeight="1" spans="1:20">
      <c r="A14" s="22"/>
      <c r="B14" s="24"/>
      <c r="C14" s="20" t="s">
        <v>79</v>
      </c>
      <c r="D14" s="21">
        <f>SUM('Z-高新:Z-中天鸿锂'!D14)</f>
        <v>7100</v>
      </c>
      <c r="E14" s="21">
        <f>SUM('Z-高新:Z-中天鸿锂'!E14)</f>
        <v>167700</v>
      </c>
      <c r="F14" s="21">
        <f>SUM('Z-高新:Z-中天鸿锂'!F14)</f>
        <v>12000</v>
      </c>
      <c r="G14" s="21">
        <f>SUM('Z-高新:Z-中天鸿锂'!G14)</f>
        <v>22450</v>
      </c>
      <c r="H14" s="21">
        <f>SUM('Z-高新:Z-中天鸿锂'!H14)</f>
        <v>0</v>
      </c>
      <c r="I14" s="21">
        <f>SUM('Z-高新:Z-中天鸿锂'!I14)</f>
        <v>0</v>
      </c>
      <c r="J14" s="21">
        <f>SUM('Z-高新:Z-中天鸿锂'!J14)</f>
        <v>0</v>
      </c>
      <c r="K14" s="21">
        <f>SUM('Z-高新:Z-中天鸿锂'!K14)</f>
        <v>0</v>
      </c>
      <c r="L14" s="21">
        <f>SUM('Z-高新:Z-中天鸿锂'!L14)</f>
        <v>0</v>
      </c>
      <c r="M14" s="21">
        <f>SUM('Z-高新:Z-中天鸿锂'!M14)</f>
        <v>0</v>
      </c>
      <c r="N14" s="21">
        <f>SUM('Z-高新:Z-中天鸿锂'!N14)</f>
        <v>0</v>
      </c>
      <c r="O14" s="21">
        <f>SUM('Z-高新:Z-中天鸿锂'!O14)</f>
        <v>0</v>
      </c>
      <c r="P14" s="47">
        <f t="shared" si="0"/>
        <v>209250</v>
      </c>
      <c r="T14" s="48"/>
    </row>
    <row r="15" s="5" customFormat="1" ht="17.25" customHeight="1" spans="1:20">
      <c r="A15" s="22"/>
      <c r="B15" s="24"/>
      <c r="C15" s="25" t="s">
        <v>80</v>
      </c>
      <c r="D15" s="21">
        <f>SUM('Z-高新:Z-中天鸿锂'!D15)</f>
        <v>0</v>
      </c>
      <c r="E15" s="21">
        <f>SUM('Z-高新:Z-中天鸿锂'!E15)</f>
        <v>0</v>
      </c>
      <c r="F15" s="21">
        <f>SUM('Z-高新:Z-中天鸿锂'!F15)</f>
        <v>0</v>
      </c>
      <c r="G15" s="21">
        <f>SUM('Z-高新:Z-中天鸿锂'!G15)</f>
        <v>0</v>
      </c>
      <c r="H15" s="21">
        <f>SUM('Z-高新:Z-中天鸿锂'!H15)</f>
        <v>0</v>
      </c>
      <c r="I15" s="21">
        <f>SUM('Z-高新:Z-中天鸿锂'!I15)</f>
        <v>0</v>
      </c>
      <c r="J15" s="21">
        <f>SUM('Z-高新:Z-中天鸿锂'!J15)</f>
        <v>0</v>
      </c>
      <c r="K15" s="21">
        <f>SUM('Z-高新:Z-中天鸿锂'!K15)</f>
        <v>0</v>
      </c>
      <c r="L15" s="21">
        <f>SUM('Z-高新:Z-中天鸿锂'!L15)</f>
        <v>0</v>
      </c>
      <c r="M15" s="21">
        <f>SUM('Z-高新:Z-中天鸿锂'!M15)</f>
        <v>0</v>
      </c>
      <c r="N15" s="21">
        <f>SUM('Z-高新:Z-中天鸿锂'!N15)</f>
        <v>0</v>
      </c>
      <c r="O15" s="21">
        <f>SUM('Z-高新:Z-中天鸿锂'!O15)</f>
        <v>0</v>
      </c>
      <c r="P15" s="47">
        <f t="shared" si="0"/>
        <v>0</v>
      </c>
      <c r="T15" s="48"/>
    </row>
    <row r="16" s="5" customFormat="1" ht="17.25" customHeight="1" spans="1:20">
      <c r="A16" s="22"/>
      <c r="B16" s="24"/>
      <c r="C16" s="25" t="s">
        <v>81</v>
      </c>
      <c r="D16" s="21">
        <f>SUM('Z-高新:Z-中天鸿锂'!D16)</f>
        <v>0</v>
      </c>
      <c r="E16" s="21">
        <f>SUM('Z-高新:Z-中天鸿锂'!E16)</f>
        <v>0</v>
      </c>
      <c r="F16" s="21">
        <f>SUM('Z-高新:Z-中天鸿锂'!F16)</f>
        <v>0</v>
      </c>
      <c r="G16" s="21">
        <f>SUM('Z-高新:Z-中天鸿锂'!G16)</f>
        <v>0</v>
      </c>
      <c r="H16" s="21">
        <f>SUM('Z-高新:Z-中天鸿锂'!H16)</f>
        <v>0</v>
      </c>
      <c r="I16" s="21">
        <f>SUM('Z-高新:Z-中天鸿锂'!I16)</f>
        <v>0</v>
      </c>
      <c r="J16" s="21">
        <f>SUM('Z-高新:Z-中天鸿锂'!J16)</f>
        <v>0</v>
      </c>
      <c r="K16" s="21">
        <f>SUM('Z-高新:Z-中天鸿锂'!K16)</f>
        <v>0</v>
      </c>
      <c r="L16" s="21">
        <f>SUM('Z-高新:Z-中天鸿锂'!L16)</f>
        <v>0</v>
      </c>
      <c r="M16" s="21">
        <f>SUM('Z-高新:Z-中天鸿锂'!M16)</f>
        <v>0</v>
      </c>
      <c r="N16" s="21">
        <f>SUM('Z-高新:Z-中天鸿锂'!N16)</f>
        <v>0</v>
      </c>
      <c r="O16" s="21">
        <f>SUM('Z-高新:Z-中天鸿锂'!O16)</f>
        <v>0</v>
      </c>
      <c r="P16" s="47">
        <f t="shared" si="0"/>
        <v>0</v>
      </c>
      <c r="T16" s="48"/>
    </row>
    <row r="17" s="5" customFormat="1" ht="17.25" customHeight="1" spans="1:20">
      <c r="A17" s="22"/>
      <c r="B17" s="24"/>
      <c r="C17" s="25" t="s">
        <v>82</v>
      </c>
      <c r="D17" s="21">
        <f>SUM('Z-高新:Z-中天鸿锂'!D17)</f>
        <v>0</v>
      </c>
      <c r="E17" s="21">
        <f>SUM('Z-高新:Z-中天鸿锂'!E17)</f>
        <v>0</v>
      </c>
      <c r="F17" s="21">
        <f>SUM('Z-高新:Z-中天鸿锂'!F17)</f>
        <v>0</v>
      </c>
      <c r="G17" s="21">
        <f>SUM('Z-高新:Z-中天鸿锂'!G17)</f>
        <v>0</v>
      </c>
      <c r="H17" s="21">
        <f>SUM('Z-高新:Z-中天鸿锂'!H17)</f>
        <v>0</v>
      </c>
      <c r="I17" s="21">
        <f>SUM('Z-高新:Z-中天鸿锂'!I17)</f>
        <v>0</v>
      </c>
      <c r="J17" s="21">
        <f>SUM('Z-高新:Z-中天鸿锂'!J17)</f>
        <v>0</v>
      </c>
      <c r="K17" s="21">
        <f>SUM('Z-高新:Z-中天鸿锂'!K17)</f>
        <v>0</v>
      </c>
      <c r="L17" s="21">
        <f>SUM('Z-高新:Z-中天鸿锂'!L17)</f>
        <v>0</v>
      </c>
      <c r="M17" s="21">
        <f>SUM('Z-高新:Z-中天鸿锂'!M17)</f>
        <v>0</v>
      </c>
      <c r="N17" s="21">
        <f>SUM('Z-高新:Z-中天鸿锂'!N17)</f>
        <v>0</v>
      </c>
      <c r="O17" s="21">
        <f>SUM('Z-高新:Z-中天鸿锂'!O17)</f>
        <v>0</v>
      </c>
      <c r="P17" s="47">
        <f t="shared" si="0"/>
        <v>0</v>
      </c>
      <c r="T17" s="48"/>
    </row>
    <row r="18" s="5" customFormat="1" ht="17.25" customHeight="1" spans="1:20">
      <c r="A18" s="22"/>
      <c r="B18" s="23"/>
      <c r="C18" s="25" t="s">
        <v>83</v>
      </c>
      <c r="D18" s="21">
        <f>SUM('Z-高新:Z-中天鸿锂'!D18)</f>
        <v>892.63</v>
      </c>
      <c r="E18" s="21">
        <f>SUM('Z-高新:Z-中天鸿锂'!E18)</f>
        <v>0</v>
      </c>
      <c r="F18" s="21">
        <f>SUM('Z-高新:Z-中天鸿锂'!F18)</f>
        <v>982.92</v>
      </c>
      <c r="G18" s="21">
        <f>SUM('Z-高新:Z-中天鸿锂'!G18)</f>
        <v>6916.46</v>
      </c>
      <c r="H18" s="21">
        <f>SUM('Z-高新:Z-中天鸿锂'!H18)</f>
        <v>0</v>
      </c>
      <c r="I18" s="21">
        <f>SUM('Z-高新:Z-中天鸿锂'!I18)</f>
        <v>0</v>
      </c>
      <c r="J18" s="21">
        <f>SUM('Z-高新:Z-中天鸿锂'!J18)</f>
        <v>0</v>
      </c>
      <c r="K18" s="21">
        <f>SUM('Z-高新:Z-中天鸿锂'!K18)</f>
        <v>0</v>
      </c>
      <c r="L18" s="21">
        <f>SUM('Z-高新:Z-中天鸿锂'!L18)</f>
        <v>0</v>
      </c>
      <c r="M18" s="21">
        <f>SUM('Z-高新:Z-中天鸿锂'!M18)</f>
        <v>0</v>
      </c>
      <c r="N18" s="21">
        <f>SUM('Z-高新:Z-中天鸿锂'!N18)</f>
        <v>0</v>
      </c>
      <c r="O18" s="21">
        <f>SUM('Z-高新:Z-中天鸿锂'!O18)</f>
        <v>0</v>
      </c>
      <c r="P18" s="47">
        <f t="shared" si="0"/>
        <v>8792.01</v>
      </c>
      <c r="T18" s="48"/>
    </row>
    <row r="19" s="5" customFormat="1" ht="17.25" customHeight="1" spans="1:20">
      <c r="A19" s="22"/>
      <c r="B19" s="26" t="s">
        <v>84</v>
      </c>
      <c r="C19" s="25" t="s">
        <v>84</v>
      </c>
      <c r="D19" s="21">
        <f>SUM('Z-高新:Z-中天鸿锂'!D19)</f>
        <v>252170</v>
      </c>
      <c r="E19" s="21">
        <f>SUM('Z-高新:Z-中天鸿锂'!E19)</f>
        <v>226936</v>
      </c>
      <c r="F19" s="21">
        <f>SUM('Z-高新:Z-中天鸿锂'!F19)</f>
        <v>242995</v>
      </c>
      <c r="G19" s="21">
        <f>SUM('Z-高新:Z-中天鸿锂'!G19)</f>
        <v>255400</v>
      </c>
      <c r="H19" s="21">
        <f>SUM('Z-高新:Z-中天鸿锂'!H19)</f>
        <v>0</v>
      </c>
      <c r="I19" s="21">
        <f>SUM('Z-高新:Z-中天鸿锂'!I19)</f>
        <v>0</v>
      </c>
      <c r="J19" s="21">
        <f>SUM('Z-高新:Z-中天鸿锂'!J19)</f>
        <v>0</v>
      </c>
      <c r="K19" s="21">
        <f>SUM('Z-高新:Z-中天鸿锂'!K19)</f>
        <v>0</v>
      </c>
      <c r="L19" s="21">
        <f>SUM('Z-高新:Z-中天鸿锂'!L19)</f>
        <v>0</v>
      </c>
      <c r="M19" s="21">
        <f>SUM('Z-高新:Z-中天鸿锂'!M19)</f>
        <v>0</v>
      </c>
      <c r="N19" s="21">
        <f>SUM('Z-高新:Z-中天鸿锂'!N19)</f>
        <v>0</v>
      </c>
      <c r="O19" s="21">
        <f>SUM('Z-高新:Z-中天鸿锂'!O19)</f>
        <v>0</v>
      </c>
      <c r="P19" s="47">
        <f t="shared" si="0"/>
        <v>977501</v>
      </c>
      <c r="T19" s="48"/>
    </row>
    <row r="20" s="5" customFormat="1" ht="17.25" customHeight="1" spans="1:20">
      <c r="A20" s="22"/>
      <c r="B20" s="19" t="s">
        <v>85</v>
      </c>
      <c r="C20" s="20" t="s">
        <v>85</v>
      </c>
      <c r="D20" s="21">
        <f>SUM('Z-高新:Z-中天鸿锂'!D20)</f>
        <v>0</v>
      </c>
      <c r="E20" s="21">
        <f>SUM('Z-高新:Z-中天鸿锂'!E20)</f>
        <v>0</v>
      </c>
      <c r="F20" s="21">
        <f>SUM('Z-高新:Z-中天鸿锂'!F20)</f>
        <v>0</v>
      </c>
      <c r="G20" s="21">
        <f>SUM('Z-高新:Z-中天鸿锂'!G20)</f>
        <v>0</v>
      </c>
      <c r="H20" s="21">
        <f>SUM('Z-高新:Z-中天鸿锂'!H20)</f>
        <v>0</v>
      </c>
      <c r="I20" s="21">
        <f>SUM('Z-高新:Z-中天鸿锂'!I20)</f>
        <v>0</v>
      </c>
      <c r="J20" s="21">
        <f>SUM('Z-高新:Z-中天鸿锂'!J20)</f>
        <v>0</v>
      </c>
      <c r="K20" s="21">
        <f>SUM('Z-高新:Z-中天鸿锂'!K20)</f>
        <v>0</v>
      </c>
      <c r="L20" s="21">
        <f>SUM('Z-高新:Z-中天鸿锂'!L20)</f>
        <v>0</v>
      </c>
      <c r="M20" s="21">
        <f>SUM('Z-高新:Z-中天鸿锂'!M20)</f>
        <v>0</v>
      </c>
      <c r="N20" s="21">
        <f>SUM('Z-高新:Z-中天鸿锂'!N20)</f>
        <v>0</v>
      </c>
      <c r="O20" s="21">
        <f>SUM('Z-高新:Z-中天鸿锂'!O20)</f>
        <v>0</v>
      </c>
      <c r="P20" s="47">
        <f t="shared" si="0"/>
        <v>0</v>
      </c>
      <c r="T20" s="48"/>
    </row>
    <row r="21" s="5" customFormat="1" ht="17.25" customHeight="1" spans="1:20">
      <c r="A21" s="22"/>
      <c r="B21" s="19" t="s">
        <v>86</v>
      </c>
      <c r="C21" s="20" t="s">
        <v>86</v>
      </c>
      <c r="D21" s="21">
        <f>SUM('Z-高新:Z-中天鸿锂'!D21)</f>
        <v>2215.46</v>
      </c>
      <c r="E21" s="21">
        <f>SUM('Z-高新:Z-中天鸿锂'!E21)</f>
        <v>0</v>
      </c>
      <c r="F21" s="21">
        <f>SUM('Z-高新:Z-中天鸿锂'!F21)</f>
        <v>0</v>
      </c>
      <c r="G21" s="21">
        <f>SUM('Z-高新:Z-中天鸿锂'!G21)</f>
        <v>0</v>
      </c>
      <c r="H21" s="21">
        <f>SUM('Z-高新:Z-中天鸿锂'!H21)</f>
        <v>0</v>
      </c>
      <c r="I21" s="21">
        <f>SUM('Z-高新:Z-中天鸿锂'!I21)</f>
        <v>0</v>
      </c>
      <c r="J21" s="21">
        <f>SUM('Z-高新:Z-中天鸿锂'!J21)</f>
        <v>0</v>
      </c>
      <c r="K21" s="21">
        <f>SUM('Z-高新:Z-中天鸿锂'!K21)</f>
        <v>0</v>
      </c>
      <c r="L21" s="21">
        <f>SUM('Z-高新:Z-中天鸿锂'!L21)</f>
        <v>0</v>
      </c>
      <c r="M21" s="21">
        <f>SUM('Z-高新:Z-中天鸿锂'!M21)</f>
        <v>0</v>
      </c>
      <c r="N21" s="21">
        <f>SUM('Z-高新:Z-中天鸿锂'!N21)</f>
        <v>0</v>
      </c>
      <c r="O21" s="21">
        <f>SUM('Z-高新:Z-中天鸿锂'!O21)</f>
        <v>0</v>
      </c>
      <c r="P21" s="47">
        <f t="shared" si="0"/>
        <v>2215.46</v>
      </c>
      <c r="T21" s="48"/>
    </row>
    <row r="22" s="5" customFormat="1" ht="17.25" customHeight="1" spans="1:20">
      <c r="A22" s="22"/>
      <c r="B22" s="19" t="s">
        <v>87</v>
      </c>
      <c r="C22" s="25" t="s">
        <v>88</v>
      </c>
      <c r="D22" s="21">
        <f>SUM('Z-高新:Z-中天鸿锂'!D22)</f>
        <v>663716.84</v>
      </c>
      <c r="E22" s="21">
        <f>SUM('Z-高新:Z-中天鸿锂'!E22)</f>
        <v>595419.92</v>
      </c>
      <c r="F22" s="21">
        <f>SUM('Z-高新:Z-中天鸿锂'!F22)</f>
        <v>-373687.66</v>
      </c>
      <c r="G22" s="21">
        <f>SUM('Z-高新:Z-中天鸿锂'!G22)</f>
        <v>202964.96</v>
      </c>
      <c r="H22" s="21">
        <f>SUM('Z-高新:Z-中天鸿锂'!H22)</f>
        <v>0</v>
      </c>
      <c r="I22" s="21">
        <f>SUM('Z-高新:Z-中天鸿锂'!I22)</f>
        <v>0</v>
      </c>
      <c r="J22" s="21">
        <f>SUM('Z-高新:Z-中天鸿锂'!J22)</f>
        <v>0</v>
      </c>
      <c r="K22" s="21">
        <f>SUM('Z-高新:Z-中天鸿锂'!K22)</f>
        <v>0</v>
      </c>
      <c r="L22" s="21">
        <f>SUM('Z-高新:Z-中天鸿锂'!L22)</f>
        <v>0</v>
      </c>
      <c r="M22" s="21">
        <f>SUM('Z-高新:Z-中天鸿锂'!M22)</f>
        <v>0</v>
      </c>
      <c r="N22" s="21">
        <f>SUM('Z-高新:Z-中天鸿锂'!N22)</f>
        <v>0</v>
      </c>
      <c r="O22" s="21">
        <f>SUM('Z-高新:Z-中天鸿锂'!O22)</f>
        <v>0</v>
      </c>
      <c r="P22" s="47">
        <f t="shared" si="0"/>
        <v>1088414.06</v>
      </c>
      <c r="T22" s="48"/>
    </row>
    <row r="23" s="5" customFormat="1" ht="17.25" customHeight="1" spans="1:20">
      <c r="A23" s="22"/>
      <c r="B23" s="24"/>
      <c r="C23" s="25" t="s">
        <v>89</v>
      </c>
      <c r="D23" s="21">
        <f>SUM('Z-高新:Z-中天鸿锂'!D23)</f>
        <v>19181.52</v>
      </c>
      <c r="E23" s="21">
        <f>SUM('Z-高新:Z-中天鸿锂'!E23)</f>
        <v>17168.45</v>
      </c>
      <c r="F23" s="21">
        <f>SUM('Z-高新:Z-中天鸿锂'!F23)</f>
        <v>-3803.21</v>
      </c>
      <c r="G23" s="21">
        <f>SUM('Z-高新:Z-中天鸿锂'!G23)</f>
        <v>-6318.2</v>
      </c>
      <c r="H23" s="21">
        <f>SUM('Z-高新:Z-中天鸿锂'!H23)</f>
        <v>0</v>
      </c>
      <c r="I23" s="21">
        <f>SUM('Z-高新:Z-中天鸿锂'!I23)</f>
        <v>0</v>
      </c>
      <c r="J23" s="21">
        <f>SUM('Z-高新:Z-中天鸿锂'!J23)</f>
        <v>0</v>
      </c>
      <c r="K23" s="21">
        <f>SUM('Z-高新:Z-中天鸿锂'!K23)</f>
        <v>0</v>
      </c>
      <c r="L23" s="21">
        <f>SUM('Z-高新:Z-中天鸿锂'!L23)</f>
        <v>0</v>
      </c>
      <c r="M23" s="21">
        <f>SUM('Z-高新:Z-中天鸿锂'!M23)</f>
        <v>0</v>
      </c>
      <c r="N23" s="21">
        <f>SUM('Z-高新:Z-中天鸿锂'!N23)</f>
        <v>0</v>
      </c>
      <c r="O23" s="21">
        <f>SUM('Z-高新:Z-中天鸿锂'!O23)</f>
        <v>0</v>
      </c>
      <c r="P23" s="47">
        <f t="shared" si="0"/>
        <v>26228.56</v>
      </c>
      <c r="T23" s="48"/>
    </row>
    <row r="24" s="5" customFormat="1" ht="17.25" customHeight="1" spans="1:20">
      <c r="A24" s="22"/>
      <c r="B24" s="24"/>
      <c r="C24" s="25" t="s">
        <v>90</v>
      </c>
      <c r="D24" s="21">
        <f>SUM('Z-高新:Z-中天鸿锂'!D24)</f>
        <v>21669.05</v>
      </c>
      <c r="E24" s="21">
        <f>SUM('Z-高新:Z-中天鸿锂'!E24)</f>
        <v>19322.47</v>
      </c>
      <c r="F24" s="21">
        <f>SUM('Z-高新:Z-中天鸿锂'!F24)</f>
        <v>-8915.89</v>
      </c>
      <c r="G24" s="21">
        <f>SUM('Z-高新:Z-中天鸿锂'!G24)</f>
        <v>8222.18</v>
      </c>
      <c r="H24" s="21">
        <f>SUM('Z-高新:Z-中天鸿锂'!H24)</f>
        <v>0</v>
      </c>
      <c r="I24" s="21">
        <f>SUM('Z-高新:Z-中天鸿锂'!I24)</f>
        <v>0</v>
      </c>
      <c r="J24" s="21">
        <f>SUM('Z-高新:Z-中天鸿锂'!J24)</f>
        <v>0</v>
      </c>
      <c r="K24" s="21">
        <f>SUM('Z-高新:Z-中天鸿锂'!K24)</f>
        <v>0</v>
      </c>
      <c r="L24" s="21">
        <f>SUM('Z-高新:Z-中天鸿锂'!L24)</f>
        <v>0</v>
      </c>
      <c r="M24" s="21">
        <f>SUM('Z-高新:Z-中天鸿锂'!M24)</f>
        <v>0</v>
      </c>
      <c r="N24" s="21">
        <f>SUM('Z-高新:Z-中天鸿锂'!N24)</f>
        <v>0</v>
      </c>
      <c r="O24" s="21">
        <f>SUM('Z-高新:Z-中天鸿锂'!O24)</f>
        <v>0</v>
      </c>
      <c r="P24" s="47">
        <f t="shared" si="0"/>
        <v>40297.81</v>
      </c>
      <c r="T24" s="48"/>
    </row>
    <row r="25" s="5" customFormat="1" ht="17.25" customHeight="1" spans="1:20">
      <c r="A25" s="22"/>
      <c r="B25" s="24"/>
      <c r="C25" s="25" t="s">
        <v>91</v>
      </c>
      <c r="D25" s="21">
        <f>SUM('Z-高新:Z-中天鸿锂'!D25)</f>
        <v>367793.06</v>
      </c>
      <c r="E25" s="21">
        <f>SUM('Z-高新:Z-中天鸿锂'!E25)</f>
        <v>322578.42</v>
      </c>
      <c r="F25" s="21">
        <f>SUM('Z-高新:Z-中天鸿锂'!F25)</f>
        <v>231783.81</v>
      </c>
      <c r="G25" s="21">
        <f>SUM('Z-高新:Z-中天鸿锂'!G25)</f>
        <v>94626.04</v>
      </c>
      <c r="H25" s="21">
        <f>SUM('Z-高新:Z-中天鸿锂'!H25)</f>
        <v>0</v>
      </c>
      <c r="I25" s="21">
        <f>SUM('Z-高新:Z-中天鸿锂'!I25)</f>
        <v>0</v>
      </c>
      <c r="J25" s="21">
        <f>SUM('Z-高新:Z-中天鸿锂'!J25)</f>
        <v>0</v>
      </c>
      <c r="K25" s="21">
        <f>SUM('Z-高新:Z-中天鸿锂'!K25)</f>
        <v>0</v>
      </c>
      <c r="L25" s="21">
        <f>SUM('Z-高新:Z-中天鸿锂'!L25)</f>
        <v>0</v>
      </c>
      <c r="M25" s="21">
        <f>SUM('Z-高新:Z-中天鸿锂'!M25)</f>
        <v>0</v>
      </c>
      <c r="N25" s="21">
        <f>SUM('Z-高新:Z-中天鸿锂'!N25)</f>
        <v>0</v>
      </c>
      <c r="O25" s="21">
        <f>SUM('Z-高新:Z-中天鸿锂'!O25)</f>
        <v>0</v>
      </c>
      <c r="P25" s="47">
        <f t="shared" si="0"/>
        <v>1016781.33</v>
      </c>
      <c r="T25" s="48"/>
    </row>
    <row r="26" s="5" customFormat="1" ht="17.25" customHeight="1" spans="1:20">
      <c r="A26" s="22"/>
      <c r="B26" s="23"/>
      <c r="C26" s="25" t="s">
        <v>92</v>
      </c>
      <c r="D26" s="21">
        <f>SUM('Z-高新:Z-中天鸿锂'!D26)</f>
        <v>41369.92</v>
      </c>
      <c r="E26" s="21">
        <f>SUM('Z-高新:Z-中天鸿锂'!E26)</f>
        <v>36461.13</v>
      </c>
      <c r="F26" s="21">
        <f>SUM('Z-高新:Z-中天鸿锂'!F26)</f>
        <v>35794.71</v>
      </c>
      <c r="G26" s="21">
        <f>SUM('Z-高新:Z-中天鸿锂'!G26)</f>
        <v>11689.24</v>
      </c>
      <c r="H26" s="21">
        <f>SUM('Z-高新:Z-中天鸿锂'!H26)</f>
        <v>0</v>
      </c>
      <c r="I26" s="21">
        <f>SUM('Z-高新:Z-中天鸿锂'!I26)</f>
        <v>0</v>
      </c>
      <c r="J26" s="21">
        <f>SUM('Z-高新:Z-中天鸿锂'!J26)</f>
        <v>0</v>
      </c>
      <c r="K26" s="21">
        <f>SUM('Z-高新:Z-中天鸿锂'!K26)</f>
        <v>0</v>
      </c>
      <c r="L26" s="21">
        <f>SUM('Z-高新:Z-中天鸿锂'!L26)</f>
        <v>0</v>
      </c>
      <c r="M26" s="21">
        <f>SUM('Z-高新:Z-中天鸿锂'!M26)</f>
        <v>0</v>
      </c>
      <c r="N26" s="21">
        <f>SUM('Z-高新:Z-中天鸿锂'!N26)</f>
        <v>0</v>
      </c>
      <c r="O26" s="21">
        <f>SUM('Z-高新:Z-中天鸿锂'!O26)</f>
        <v>0</v>
      </c>
      <c r="P26" s="47">
        <f t="shared" si="0"/>
        <v>125315</v>
      </c>
      <c r="T26" s="48"/>
    </row>
    <row r="27" s="5" customFormat="1" ht="17.25" customHeight="1" spans="1:20">
      <c r="A27" s="22"/>
      <c r="B27" s="19" t="s">
        <v>93</v>
      </c>
      <c r="C27" s="20" t="s">
        <v>93</v>
      </c>
      <c r="D27" s="21">
        <f>SUM('Z-高新:Z-中天鸿锂'!D27)</f>
        <v>0</v>
      </c>
      <c r="E27" s="21">
        <f>SUM('Z-高新:Z-中天鸿锂'!E27)</f>
        <v>0</v>
      </c>
      <c r="F27" s="21">
        <f>SUM('Z-高新:Z-中天鸿锂'!F27)</f>
        <v>0</v>
      </c>
      <c r="G27" s="21">
        <f>SUM('Z-高新:Z-中天鸿锂'!G27)</f>
        <v>0</v>
      </c>
      <c r="H27" s="21">
        <f>SUM('Z-高新:Z-中天鸿锂'!H27)</f>
        <v>0</v>
      </c>
      <c r="I27" s="21">
        <f>SUM('Z-高新:Z-中天鸿锂'!I27)</f>
        <v>0</v>
      </c>
      <c r="J27" s="21">
        <f>SUM('Z-高新:Z-中天鸿锂'!J27)</f>
        <v>0</v>
      </c>
      <c r="K27" s="21">
        <f>SUM('Z-高新:Z-中天鸿锂'!K27)</f>
        <v>0</v>
      </c>
      <c r="L27" s="21">
        <f>SUM('Z-高新:Z-中天鸿锂'!L27)</f>
        <v>0</v>
      </c>
      <c r="M27" s="21">
        <f>SUM('Z-高新:Z-中天鸿锂'!M27)</f>
        <v>0</v>
      </c>
      <c r="N27" s="21">
        <f>SUM('Z-高新:Z-中天鸿锂'!N27)</f>
        <v>0</v>
      </c>
      <c r="O27" s="21">
        <f>SUM('Z-高新:Z-中天鸿锂'!O27)</f>
        <v>0</v>
      </c>
      <c r="P27" s="47">
        <f t="shared" si="0"/>
        <v>0</v>
      </c>
      <c r="T27" s="48"/>
    </row>
    <row r="28" s="5" customFormat="1" ht="17.25" customHeight="1" spans="1:20">
      <c r="A28" s="27" t="s">
        <v>94</v>
      </c>
      <c r="B28" s="19" t="s">
        <v>95</v>
      </c>
      <c r="C28" s="25" t="s">
        <v>96</v>
      </c>
      <c r="D28" s="21">
        <f>SUM('Z-高新:Z-中天鸿锂'!D28)</f>
        <v>0</v>
      </c>
      <c r="E28" s="21">
        <f>SUM('Z-高新:Z-中天鸿锂'!E28)</f>
        <v>0</v>
      </c>
      <c r="F28" s="21">
        <f>SUM('Z-高新:Z-中天鸿锂'!F28)</f>
        <v>0</v>
      </c>
      <c r="G28" s="21">
        <f>SUM('Z-高新:Z-中天鸿锂'!G28)</f>
        <v>0</v>
      </c>
      <c r="H28" s="21">
        <f>SUM('Z-高新:Z-中天鸿锂'!H28)</f>
        <v>0</v>
      </c>
      <c r="I28" s="21">
        <f>SUM('Z-高新:Z-中天鸿锂'!I28)</f>
        <v>0</v>
      </c>
      <c r="J28" s="21">
        <f>SUM('Z-高新:Z-中天鸿锂'!J28)</f>
        <v>0</v>
      </c>
      <c r="K28" s="21">
        <f>SUM('Z-高新:Z-中天鸿锂'!K28)</f>
        <v>0</v>
      </c>
      <c r="L28" s="21">
        <f>SUM('Z-高新:Z-中天鸿锂'!L28)</f>
        <v>0</v>
      </c>
      <c r="M28" s="21">
        <f>SUM('Z-高新:Z-中天鸿锂'!M28)</f>
        <v>0</v>
      </c>
      <c r="N28" s="21">
        <f>SUM('Z-高新:Z-中天鸿锂'!N28)</f>
        <v>0</v>
      </c>
      <c r="O28" s="21">
        <f>SUM('Z-高新:Z-中天鸿锂'!O28)</f>
        <v>0</v>
      </c>
      <c r="P28" s="47">
        <f t="shared" si="0"/>
        <v>0</v>
      </c>
      <c r="T28" s="48"/>
    </row>
    <row r="29" s="5" customFormat="1" ht="17.25" customHeight="1" spans="1:20">
      <c r="A29" s="28"/>
      <c r="B29" s="23"/>
      <c r="C29" s="20" t="s">
        <v>97</v>
      </c>
      <c r="D29" s="21">
        <f>SUM('Z-高新:Z-中天鸿锂'!D29)</f>
        <v>1873.28</v>
      </c>
      <c r="E29" s="21">
        <f>SUM('Z-高新:Z-中天鸿锂'!E29)</f>
        <v>15.53</v>
      </c>
      <c r="F29" s="21">
        <f>SUM('Z-高新:Z-中天鸿锂'!F29)</f>
        <v>12395.17</v>
      </c>
      <c r="G29" s="21">
        <f>SUM('Z-高新:Z-中天鸿锂'!G29)</f>
        <v>23137.33</v>
      </c>
      <c r="H29" s="21">
        <f>SUM('Z-高新:Z-中天鸿锂'!H29)</f>
        <v>0</v>
      </c>
      <c r="I29" s="21">
        <f>SUM('Z-高新:Z-中天鸿锂'!I29)</f>
        <v>0</v>
      </c>
      <c r="J29" s="21">
        <f>SUM('Z-高新:Z-中天鸿锂'!J29)</f>
        <v>0</v>
      </c>
      <c r="K29" s="21">
        <f>SUM('Z-高新:Z-中天鸿锂'!K29)</f>
        <v>0</v>
      </c>
      <c r="L29" s="21">
        <f>SUM('Z-高新:Z-中天鸿锂'!L29)</f>
        <v>0</v>
      </c>
      <c r="M29" s="21">
        <f>SUM('Z-高新:Z-中天鸿锂'!M29)</f>
        <v>0</v>
      </c>
      <c r="N29" s="21">
        <f>SUM('Z-高新:Z-中天鸿锂'!N29)</f>
        <v>0</v>
      </c>
      <c r="O29" s="21">
        <f>SUM('Z-高新:Z-中天鸿锂'!O29)</f>
        <v>0</v>
      </c>
      <c r="P29" s="47">
        <f t="shared" si="0"/>
        <v>37421.31</v>
      </c>
      <c r="T29" s="48"/>
    </row>
    <row r="30" s="5" customFormat="1" ht="17.25" customHeight="1" spans="1:20">
      <c r="A30" s="28"/>
      <c r="B30" s="26" t="s">
        <v>98</v>
      </c>
      <c r="C30" s="25" t="s">
        <v>98</v>
      </c>
      <c r="D30" s="21">
        <f>SUM('Z-高新:Z-中天鸿锂'!D30)</f>
        <v>0</v>
      </c>
      <c r="E30" s="21">
        <f>SUM('Z-高新:Z-中天鸿锂'!E30)</f>
        <v>51930.18</v>
      </c>
      <c r="F30" s="21">
        <f>SUM('Z-高新:Z-中天鸿锂'!F30)</f>
        <v>23898.04</v>
      </c>
      <c r="G30" s="21">
        <f>SUM('Z-高新:Z-中天鸿锂'!G30)</f>
        <v>30482.57</v>
      </c>
      <c r="H30" s="21">
        <f>SUM('Z-高新:Z-中天鸿锂'!H30)</f>
        <v>0</v>
      </c>
      <c r="I30" s="21">
        <f>SUM('Z-高新:Z-中天鸿锂'!I30)</f>
        <v>0</v>
      </c>
      <c r="J30" s="21">
        <f>SUM('Z-高新:Z-中天鸿锂'!J30)</f>
        <v>0</v>
      </c>
      <c r="K30" s="21">
        <f>SUM('Z-高新:Z-中天鸿锂'!K30)</f>
        <v>0</v>
      </c>
      <c r="L30" s="21">
        <f>SUM('Z-高新:Z-中天鸿锂'!L30)</f>
        <v>0</v>
      </c>
      <c r="M30" s="21">
        <f>SUM('Z-高新:Z-中天鸿锂'!M30)</f>
        <v>0</v>
      </c>
      <c r="N30" s="21">
        <f>SUM('Z-高新:Z-中天鸿锂'!N30)</f>
        <v>0</v>
      </c>
      <c r="O30" s="21">
        <f>SUM('Z-高新:Z-中天鸿锂'!O30)</f>
        <v>0</v>
      </c>
      <c r="P30" s="47">
        <f t="shared" si="0"/>
        <v>106310.79</v>
      </c>
      <c r="T30" s="48"/>
    </row>
    <row r="31" s="5" customFormat="1" ht="17.25" customHeight="1" spans="1:20">
      <c r="A31" s="28"/>
      <c r="B31" s="19" t="s">
        <v>99</v>
      </c>
      <c r="C31" s="25" t="s">
        <v>100</v>
      </c>
      <c r="D31" s="21">
        <f>SUM('Z-高新:Z-中天鸿锂'!D31)</f>
        <v>0</v>
      </c>
      <c r="E31" s="21">
        <f>SUM('Z-高新:Z-中天鸿锂'!E31)</f>
        <v>0</v>
      </c>
      <c r="F31" s="21">
        <f>SUM('Z-高新:Z-中天鸿锂'!F31)</f>
        <v>0</v>
      </c>
      <c r="G31" s="21">
        <f>SUM('Z-高新:Z-中天鸿锂'!G31)</f>
        <v>0</v>
      </c>
      <c r="H31" s="21">
        <f>SUM('Z-高新:Z-中天鸿锂'!H31)</f>
        <v>0</v>
      </c>
      <c r="I31" s="21">
        <f>SUM('Z-高新:Z-中天鸿锂'!I31)</f>
        <v>0</v>
      </c>
      <c r="J31" s="21">
        <f>SUM('Z-高新:Z-中天鸿锂'!J31)</f>
        <v>0</v>
      </c>
      <c r="K31" s="21">
        <f>SUM('Z-高新:Z-中天鸿锂'!K31)</f>
        <v>0</v>
      </c>
      <c r="L31" s="21">
        <f>SUM('Z-高新:Z-中天鸿锂'!L31)</f>
        <v>0</v>
      </c>
      <c r="M31" s="21">
        <f>SUM('Z-高新:Z-中天鸿锂'!M31)</f>
        <v>0</v>
      </c>
      <c r="N31" s="21">
        <f>SUM('Z-高新:Z-中天鸿锂'!N31)</f>
        <v>0</v>
      </c>
      <c r="O31" s="21">
        <f>SUM('Z-高新:Z-中天鸿锂'!O31)</f>
        <v>0</v>
      </c>
      <c r="P31" s="47">
        <f t="shared" si="0"/>
        <v>0</v>
      </c>
      <c r="T31" s="48"/>
    </row>
    <row r="32" s="5" customFormat="1" ht="17.25" customHeight="1" spans="1:20">
      <c r="A32" s="28"/>
      <c r="B32" s="24"/>
      <c r="C32" s="25" t="s">
        <v>101</v>
      </c>
      <c r="D32" s="21">
        <f>SUM('Z-高新:Z-中天鸿锂'!D32)</f>
        <v>0</v>
      </c>
      <c r="E32" s="21">
        <f>SUM('Z-高新:Z-中天鸿锂'!E32)</f>
        <v>0</v>
      </c>
      <c r="F32" s="21">
        <f>SUM('Z-高新:Z-中天鸿锂'!F32)</f>
        <v>0</v>
      </c>
      <c r="G32" s="21">
        <f>SUM('Z-高新:Z-中天鸿锂'!G32)</f>
        <v>0</v>
      </c>
      <c r="H32" s="21">
        <f>SUM('Z-高新:Z-中天鸿锂'!H32)</f>
        <v>0</v>
      </c>
      <c r="I32" s="21">
        <f>SUM('Z-高新:Z-中天鸿锂'!I32)</f>
        <v>0</v>
      </c>
      <c r="J32" s="21">
        <f>SUM('Z-高新:Z-中天鸿锂'!J32)</f>
        <v>0</v>
      </c>
      <c r="K32" s="21">
        <f>SUM('Z-高新:Z-中天鸿锂'!K32)</f>
        <v>0</v>
      </c>
      <c r="L32" s="21">
        <f>SUM('Z-高新:Z-中天鸿锂'!L32)</f>
        <v>0</v>
      </c>
      <c r="M32" s="21">
        <f>SUM('Z-高新:Z-中天鸿锂'!M32)</f>
        <v>0</v>
      </c>
      <c r="N32" s="21">
        <f>SUM('Z-高新:Z-中天鸿锂'!N32)</f>
        <v>0</v>
      </c>
      <c r="O32" s="21">
        <f>SUM('Z-高新:Z-中天鸿锂'!O32)</f>
        <v>0</v>
      </c>
      <c r="P32" s="47">
        <f t="shared" si="0"/>
        <v>0</v>
      </c>
      <c r="T32" s="48"/>
    </row>
    <row r="33" s="5" customFormat="1" ht="17.25" customHeight="1" spans="1:20">
      <c r="A33" s="28"/>
      <c r="B33" s="23"/>
      <c r="C33" s="20" t="s">
        <v>102</v>
      </c>
      <c r="D33" s="21">
        <f>SUM('Z-高新:Z-中天鸿锂'!D33)</f>
        <v>420</v>
      </c>
      <c r="E33" s="21">
        <f>SUM('Z-高新:Z-中天鸿锂'!E33)</f>
        <v>0</v>
      </c>
      <c r="F33" s="21">
        <f>SUM('Z-高新:Z-中天鸿锂'!F33)</f>
        <v>0</v>
      </c>
      <c r="G33" s="21">
        <f>SUM('Z-高新:Z-中天鸿锂'!G33)</f>
        <v>0</v>
      </c>
      <c r="H33" s="21">
        <f>SUM('Z-高新:Z-中天鸿锂'!H33)</f>
        <v>0</v>
      </c>
      <c r="I33" s="21">
        <f>SUM('Z-高新:Z-中天鸿锂'!I33)</f>
        <v>0</v>
      </c>
      <c r="J33" s="21">
        <f>SUM('Z-高新:Z-中天鸿锂'!J33)</f>
        <v>0</v>
      </c>
      <c r="K33" s="21">
        <f>SUM('Z-高新:Z-中天鸿锂'!K33)</f>
        <v>0</v>
      </c>
      <c r="L33" s="21">
        <f>SUM('Z-高新:Z-中天鸿锂'!L33)</f>
        <v>0</v>
      </c>
      <c r="M33" s="21">
        <f>SUM('Z-高新:Z-中天鸿锂'!M33)</f>
        <v>0</v>
      </c>
      <c r="N33" s="21">
        <f>SUM('Z-高新:Z-中天鸿锂'!N33)</f>
        <v>0</v>
      </c>
      <c r="O33" s="21">
        <f>SUM('Z-高新:Z-中天鸿锂'!O33)</f>
        <v>0</v>
      </c>
      <c r="P33" s="47">
        <f t="shared" si="0"/>
        <v>420</v>
      </c>
      <c r="T33" s="48"/>
    </row>
    <row r="34" s="5" customFormat="1" ht="17.25" customHeight="1" spans="1:20">
      <c r="A34" s="28"/>
      <c r="B34" s="19" t="s">
        <v>103</v>
      </c>
      <c r="C34" s="25" t="s">
        <v>104</v>
      </c>
      <c r="D34" s="21">
        <f>SUM('Z-高新:Z-中天鸿锂'!D34)</f>
        <v>5751.59</v>
      </c>
      <c r="E34" s="21">
        <f>SUM('Z-高新:Z-中天鸿锂'!E34)</f>
        <v>4312.04</v>
      </c>
      <c r="F34" s="21">
        <f>SUM('Z-高新:Z-中天鸿锂'!F34)</f>
        <v>13712.06</v>
      </c>
      <c r="G34" s="21">
        <f>SUM('Z-高新:Z-中天鸿锂'!G34)</f>
        <v>16396.27</v>
      </c>
      <c r="H34" s="21">
        <f>SUM('Z-高新:Z-中天鸿锂'!H34)</f>
        <v>0</v>
      </c>
      <c r="I34" s="21">
        <f>SUM('Z-高新:Z-中天鸿锂'!I34)</f>
        <v>0</v>
      </c>
      <c r="J34" s="21">
        <f>SUM('Z-高新:Z-中天鸿锂'!J34)</f>
        <v>0</v>
      </c>
      <c r="K34" s="21">
        <f>SUM('Z-高新:Z-中天鸿锂'!K34)</f>
        <v>0</v>
      </c>
      <c r="L34" s="21">
        <f>SUM('Z-高新:Z-中天鸿锂'!L34)</f>
        <v>0</v>
      </c>
      <c r="M34" s="21">
        <f>SUM('Z-高新:Z-中天鸿锂'!M34)</f>
        <v>0</v>
      </c>
      <c r="N34" s="21">
        <f>SUM('Z-高新:Z-中天鸿锂'!N34)</f>
        <v>0</v>
      </c>
      <c r="O34" s="21">
        <f>SUM('Z-高新:Z-中天鸿锂'!O34)</f>
        <v>0</v>
      </c>
      <c r="P34" s="47">
        <f t="shared" si="0"/>
        <v>40171.96</v>
      </c>
      <c r="T34" s="48"/>
    </row>
    <row r="35" s="5" customFormat="1" ht="17.25" customHeight="1" spans="1:20">
      <c r="A35" s="28"/>
      <c r="B35" s="23"/>
      <c r="C35" s="25" t="s">
        <v>105</v>
      </c>
      <c r="D35" s="21">
        <f>SUM('Z-高新:Z-中天鸿锂'!D35)</f>
        <v>0</v>
      </c>
      <c r="E35" s="21">
        <f>SUM('Z-高新:Z-中天鸿锂'!E35)</f>
        <v>0</v>
      </c>
      <c r="F35" s="21">
        <f>SUM('Z-高新:Z-中天鸿锂'!F35)</f>
        <v>0</v>
      </c>
      <c r="G35" s="21">
        <f>SUM('Z-高新:Z-中天鸿锂'!G35)</f>
        <v>0</v>
      </c>
      <c r="H35" s="21">
        <f>SUM('Z-高新:Z-中天鸿锂'!H35)</f>
        <v>0</v>
      </c>
      <c r="I35" s="21">
        <f>SUM('Z-高新:Z-中天鸿锂'!I35)</f>
        <v>0</v>
      </c>
      <c r="J35" s="21">
        <f>SUM('Z-高新:Z-中天鸿锂'!J35)</f>
        <v>0</v>
      </c>
      <c r="K35" s="21">
        <f>SUM('Z-高新:Z-中天鸿锂'!K35)</f>
        <v>0</v>
      </c>
      <c r="L35" s="21">
        <f>SUM('Z-高新:Z-中天鸿锂'!L35)</f>
        <v>0</v>
      </c>
      <c r="M35" s="21">
        <f>SUM('Z-高新:Z-中天鸿锂'!M35)</f>
        <v>0</v>
      </c>
      <c r="N35" s="21">
        <f>SUM('Z-高新:Z-中天鸿锂'!N35)</f>
        <v>0</v>
      </c>
      <c r="O35" s="21">
        <f>SUM('Z-高新:Z-中天鸿锂'!O35)</f>
        <v>0</v>
      </c>
      <c r="P35" s="47">
        <f t="shared" si="0"/>
        <v>0</v>
      </c>
      <c r="T35" s="48"/>
    </row>
    <row r="36" s="5" customFormat="1" ht="17.25" customHeight="1" spans="1:20">
      <c r="A36" s="28"/>
      <c r="B36" s="26" t="s">
        <v>106</v>
      </c>
      <c r="C36" s="25" t="s">
        <v>106</v>
      </c>
      <c r="D36" s="21">
        <f>SUM('Z-高新:Z-中天鸿锂'!D36)</f>
        <v>1800</v>
      </c>
      <c r="E36" s="21">
        <f>SUM('Z-高新:Z-中天鸿锂'!E36)</f>
        <v>3000</v>
      </c>
      <c r="F36" s="21">
        <f>SUM('Z-高新:Z-中天鸿锂'!F36)</f>
        <v>3810</v>
      </c>
      <c r="G36" s="21">
        <f>SUM('Z-高新:Z-中天鸿锂'!G36)</f>
        <v>15280.95</v>
      </c>
      <c r="H36" s="21">
        <f>SUM('Z-高新:Z-中天鸿锂'!H36)</f>
        <v>0</v>
      </c>
      <c r="I36" s="21">
        <f>SUM('Z-高新:Z-中天鸿锂'!I36)</f>
        <v>0</v>
      </c>
      <c r="J36" s="21">
        <f>SUM('Z-高新:Z-中天鸿锂'!J36)</f>
        <v>0</v>
      </c>
      <c r="K36" s="21">
        <f>SUM('Z-高新:Z-中天鸿锂'!K36)</f>
        <v>0</v>
      </c>
      <c r="L36" s="21">
        <f>SUM('Z-高新:Z-中天鸿锂'!L36)</f>
        <v>0</v>
      </c>
      <c r="M36" s="21">
        <f>SUM('Z-高新:Z-中天鸿锂'!M36)</f>
        <v>0</v>
      </c>
      <c r="N36" s="21">
        <f>SUM('Z-高新:Z-中天鸿锂'!N36)</f>
        <v>0</v>
      </c>
      <c r="O36" s="21">
        <f>SUM('Z-高新:Z-中天鸿锂'!O36)</f>
        <v>0</v>
      </c>
      <c r="P36" s="47">
        <f t="shared" si="0"/>
        <v>23890.95</v>
      </c>
      <c r="T36" s="48"/>
    </row>
    <row r="37" s="5" customFormat="1" ht="17.25" customHeight="1" spans="1:20">
      <c r="A37" s="28"/>
      <c r="B37" s="26" t="s">
        <v>107</v>
      </c>
      <c r="C37" s="25" t="s">
        <v>107</v>
      </c>
      <c r="D37" s="21">
        <f>SUM('Z-高新:Z-中天鸿锂'!D37)</f>
        <v>3081</v>
      </c>
      <c r="E37" s="21">
        <f>SUM('Z-高新:Z-中天鸿锂'!E37)</f>
        <v>2980</v>
      </c>
      <c r="F37" s="21">
        <f>SUM('Z-高新:Z-中天鸿锂'!F37)</f>
        <v>2009</v>
      </c>
      <c r="G37" s="21">
        <f>SUM('Z-高新:Z-中天鸿锂'!G37)</f>
        <v>9094</v>
      </c>
      <c r="H37" s="21">
        <f>SUM('Z-高新:Z-中天鸿锂'!H37)</f>
        <v>0</v>
      </c>
      <c r="I37" s="21">
        <f>SUM('Z-高新:Z-中天鸿锂'!I37)</f>
        <v>0</v>
      </c>
      <c r="J37" s="21">
        <f>SUM('Z-高新:Z-中天鸿锂'!J37)</f>
        <v>0</v>
      </c>
      <c r="K37" s="21">
        <f>SUM('Z-高新:Z-中天鸿锂'!K37)</f>
        <v>0</v>
      </c>
      <c r="L37" s="21">
        <f>SUM('Z-高新:Z-中天鸿锂'!L37)</f>
        <v>0</v>
      </c>
      <c r="M37" s="21">
        <f>SUM('Z-高新:Z-中天鸿锂'!M37)</f>
        <v>0</v>
      </c>
      <c r="N37" s="21">
        <f>SUM('Z-高新:Z-中天鸿锂'!N37)</f>
        <v>0</v>
      </c>
      <c r="O37" s="21">
        <f>SUM('Z-高新:Z-中天鸿锂'!O37)</f>
        <v>0</v>
      </c>
      <c r="P37" s="47">
        <f t="shared" si="0"/>
        <v>17164</v>
      </c>
      <c r="T37" s="48"/>
    </row>
    <row r="38" s="5" customFormat="1" ht="17.25" customHeight="1" spans="1:20">
      <c r="A38" s="28"/>
      <c r="B38" s="19" t="s">
        <v>108</v>
      </c>
      <c r="C38" s="25" t="s">
        <v>109</v>
      </c>
      <c r="D38" s="21">
        <f>SUM('Z-高新:Z-中天鸿锂'!D38)</f>
        <v>0</v>
      </c>
      <c r="E38" s="21">
        <f>SUM('Z-高新:Z-中天鸿锂'!E38)</f>
        <v>0</v>
      </c>
      <c r="F38" s="21">
        <f>SUM('Z-高新:Z-中天鸿锂'!F38)</f>
        <v>0</v>
      </c>
      <c r="G38" s="21">
        <f>SUM('Z-高新:Z-中天鸿锂'!G38)</f>
        <v>0</v>
      </c>
      <c r="H38" s="21">
        <f>SUM('Z-高新:Z-中天鸿锂'!H38)</f>
        <v>0</v>
      </c>
      <c r="I38" s="21">
        <f>SUM('Z-高新:Z-中天鸿锂'!I38)</f>
        <v>0</v>
      </c>
      <c r="J38" s="21">
        <f>SUM('Z-高新:Z-中天鸿锂'!J38)</f>
        <v>0</v>
      </c>
      <c r="K38" s="21">
        <f>SUM('Z-高新:Z-中天鸿锂'!K38)</f>
        <v>0</v>
      </c>
      <c r="L38" s="21">
        <f>SUM('Z-高新:Z-中天鸿锂'!L38)</f>
        <v>0</v>
      </c>
      <c r="M38" s="21">
        <f>SUM('Z-高新:Z-中天鸿锂'!M38)</f>
        <v>0</v>
      </c>
      <c r="N38" s="21">
        <f>SUM('Z-高新:Z-中天鸿锂'!N38)</f>
        <v>0</v>
      </c>
      <c r="O38" s="21">
        <f>SUM('Z-高新:Z-中天鸿锂'!O38)</f>
        <v>0</v>
      </c>
      <c r="P38" s="47">
        <f t="shared" si="0"/>
        <v>0</v>
      </c>
      <c r="T38" s="48"/>
    </row>
    <row r="39" s="5" customFormat="1" ht="17.25" customHeight="1" spans="1:20">
      <c r="A39" s="28"/>
      <c r="B39" s="23"/>
      <c r="C39" s="25" t="s">
        <v>110</v>
      </c>
      <c r="D39" s="21">
        <f>SUM('Z-高新:Z-中天鸿锂'!D39)</f>
        <v>3815.7</v>
      </c>
      <c r="E39" s="21">
        <f>SUM('Z-高新:Z-中天鸿锂'!E39)</f>
        <v>61.78</v>
      </c>
      <c r="F39" s="21">
        <f>SUM('Z-高新:Z-中天鸿锂'!F39)</f>
        <v>353.4</v>
      </c>
      <c r="G39" s="21">
        <f>SUM('Z-高新:Z-中天鸿锂'!G39)</f>
        <v>-1214.9</v>
      </c>
      <c r="H39" s="21">
        <f>SUM('Z-高新:Z-中天鸿锂'!H39)</f>
        <v>0</v>
      </c>
      <c r="I39" s="21">
        <f>SUM('Z-高新:Z-中天鸿锂'!I39)</f>
        <v>0</v>
      </c>
      <c r="J39" s="21">
        <f>SUM('Z-高新:Z-中天鸿锂'!J39)</f>
        <v>0</v>
      </c>
      <c r="K39" s="21">
        <f>SUM('Z-高新:Z-中天鸿锂'!K39)</f>
        <v>0</v>
      </c>
      <c r="L39" s="21">
        <f>SUM('Z-高新:Z-中天鸿锂'!L39)</f>
        <v>0</v>
      </c>
      <c r="M39" s="21">
        <f>SUM('Z-高新:Z-中天鸿锂'!M39)</f>
        <v>0</v>
      </c>
      <c r="N39" s="21">
        <f>SUM('Z-高新:Z-中天鸿锂'!N39)</f>
        <v>0</v>
      </c>
      <c r="O39" s="21">
        <f>SUM('Z-高新:Z-中天鸿锂'!O39)</f>
        <v>0</v>
      </c>
      <c r="P39" s="47">
        <f t="shared" si="0"/>
        <v>3015.98</v>
      </c>
      <c r="T39" s="48"/>
    </row>
    <row r="40" s="5" customFormat="1" ht="17.25" customHeight="1" spans="1:20">
      <c r="A40" s="28"/>
      <c r="B40" s="26" t="s">
        <v>111</v>
      </c>
      <c r="C40" s="25" t="s">
        <v>111</v>
      </c>
      <c r="D40" s="21">
        <f>SUM('Z-高新:Z-中天鸿锂'!D40)</f>
        <v>0</v>
      </c>
      <c r="E40" s="21">
        <f>SUM('Z-高新:Z-中天鸿锂'!E40)</f>
        <v>0</v>
      </c>
      <c r="F40" s="21">
        <f>SUM('Z-高新:Z-中天鸿锂'!F40)</f>
        <v>0</v>
      </c>
      <c r="G40" s="21">
        <f>SUM('Z-高新:Z-中天鸿锂'!G40)</f>
        <v>3130</v>
      </c>
      <c r="H40" s="21">
        <f>SUM('Z-高新:Z-中天鸿锂'!H40)</f>
        <v>0</v>
      </c>
      <c r="I40" s="21">
        <f>SUM('Z-高新:Z-中天鸿锂'!I40)</f>
        <v>0</v>
      </c>
      <c r="J40" s="21">
        <f>SUM('Z-高新:Z-中天鸿锂'!J40)</f>
        <v>0</v>
      </c>
      <c r="K40" s="21">
        <f>SUM('Z-高新:Z-中天鸿锂'!K40)</f>
        <v>0</v>
      </c>
      <c r="L40" s="21">
        <f>SUM('Z-高新:Z-中天鸿锂'!L40)</f>
        <v>0</v>
      </c>
      <c r="M40" s="21">
        <f>SUM('Z-高新:Z-中天鸿锂'!M40)</f>
        <v>0</v>
      </c>
      <c r="N40" s="21">
        <f>SUM('Z-高新:Z-中天鸿锂'!N40)</f>
        <v>0</v>
      </c>
      <c r="O40" s="21">
        <f>SUM('Z-高新:Z-中天鸿锂'!O40)</f>
        <v>0</v>
      </c>
      <c r="P40" s="47">
        <f t="shared" si="0"/>
        <v>3130</v>
      </c>
      <c r="T40" s="48"/>
    </row>
    <row r="41" s="5" customFormat="1" ht="17.25" customHeight="1" spans="1:20">
      <c r="A41" s="29" t="s">
        <v>112</v>
      </c>
      <c r="B41" s="30" t="s">
        <v>113</v>
      </c>
      <c r="C41" s="20" t="s">
        <v>113</v>
      </c>
      <c r="D41" s="21">
        <f>SUM('Z-高新:Z-中天鸿锂'!D41)</f>
        <v>1131669.92</v>
      </c>
      <c r="E41" s="21">
        <f>SUM('Z-高新:Z-中天鸿锂'!E41)</f>
        <v>988486.67</v>
      </c>
      <c r="F41" s="21">
        <f>SUM('Z-高新:Z-中天鸿锂'!F41)</f>
        <v>2863349.93</v>
      </c>
      <c r="G41" s="21">
        <f>SUM('Z-高新:Z-中天鸿锂'!G41)</f>
        <v>4693471.61</v>
      </c>
      <c r="H41" s="21">
        <f>SUM('Z-高新:Z-中天鸿锂'!H41)</f>
        <v>0</v>
      </c>
      <c r="I41" s="21">
        <f>SUM('Z-高新:Z-中天鸿锂'!I41)</f>
        <v>0</v>
      </c>
      <c r="J41" s="21">
        <f>SUM('Z-高新:Z-中天鸿锂'!J41)</f>
        <v>0</v>
      </c>
      <c r="K41" s="21">
        <f>SUM('Z-高新:Z-中天鸿锂'!K41)</f>
        <v>0</v>
      </c>
      <c r="L41" s="21">
        <f>SUM('Z-高新:Z-中天鸿锂'!L41)</f>
        <v>0</v>
      </c>
      <c r="M41" s="21">
        <f>SUM('Z-高新:Z-中天鸿锂'!M41)</f>
        <v>0</v>
      </c>
      <c r="N41" s="21">
        <f>SUM('Z-高新:Z-中天鸿锂'!N41)</f>
        <v>0</v>
      </c>
      <c r="O41" s="21">
        <f>SUM('Z-高新:Z-中天鸿锂'!O41)</f>
        <v>0</v>
      </c>
      <c r="P41" s="47">
        <f t="shared" si="0"/>
        <v>9676978.13</v>
      </c>
      <c r="T41" s="48"/>
    </row>
    <row r="42" s="5" customFormat="1" ht="17.25" customHeight="1" spans="1:20">
      <c r="A42" s="31"/>
      <c r="B42" s="19" t="s">
        <v>114</v>
      </c>
      <c r="C42" s="32" t="s">
        <v>114</v>
      </c>
      <c r="D42" s="21">
        <f>SUM('Z-高新:Z-中天鸿锂'!D42)</f>
        <v>177549.25</v>
      </c>
      <c r="E42" s="21">
        <f>SUM('Z-高新:Z-中天鸿锂'!E42)</f>
        <v>109322.64</v>
      </c>
      <c r="F42" s="21">
        <f>SUM('Z-高新:Z-中天鸿锂'!F42)</f>
        <v>345686.17</v>
      </c>
      <c r="G42" s="21">
        <f>SUM('Z-高新:Z-中天鸿锂'!G42)</f>
        <v>124712.7</v>
      </c>
      <c r="H42" s="21">
        <f>SUM('Z-高新:Z-中天鸿锂'!H42)</f>
        <v>0</v>
      </c>
      <c r="I42" s="21">
        <f>SUM('Z-高新:Z-中天鸿锂'!I42)</f>
        <v>0</v>
      </c>
      <c r="J42" s="21">
        <f>SUM('Z-高新:Z-中天鸿锂'!J42)</f>
        <v>0</v>
      </c>
      <c r="K42" s="21">
        <f>SUM('Z-高新:Z-中天鸿锂'!K42)</f>
        <v>0</v>
      </c>
      <c r="L42" s="21">
        <f>SUM('Z-高新:Z-中天鸿锂'!L42)</f>
        <v>0</v>
      </c>
      <c r="M42" s="21">
        <f>SUM('Z-高新:Z-中天鸿锂'!M42)</f>
        <v>0</v>
      </c>
      <c r="N42" s="21">
        <f>SUM('Z-高新:Z-中天鸿锂'!N42)</f>
        <v>0</v>
      </c>
      <c r="O42" s="21">
        <f>SUM('Z-高新:Z-中天鸿锂'!O42)</f>
        <v>0</v>
      </c>
      <c r="P42" s="47">
        <f t="shared" si="0"/>
        <v>757270.76</v>
      </c>
      <c r="T42" s="48"/>
    </row>
    <row r="43" s="5" customFormat="1" ht="17.25" customHeight="1" spans="1:20">
      <c r="A43" s="31"/>
      <c r="B43" s="19" t="s">
        <v>115</v>
      </c>
      <c r="C43" s="32" t="s">
        <v>115</v>
      </c>
      <c r="D43" s="21">
        <f>SUM('Z-高新:Z-中天鸿锂'!D43)</f>
        <v>27876.11</v>
      </c>
      <c r="E43" s="21">
        <f>SUM('Z-高新:Z-中天鸿锂'!E43)</f>
        <v>9734.5</v>
      </c>
      <c r="F43" s="21">
        <f>SUM('Z-高新:Z-中天鸿锂'!F43)</f>
        <v>0</v>
      </c>
      <c r="G43" s="21">
        <f>SUM('Z-高新:Z-中天鸿锂'!G43)</f>
        <v>642.85</v>
      </c>
      <c r="H43" s="21">
        <f>SUM('Z-高新:Z-中天鸿锂'!H43)</f>
        <v>0</v>
      </c>
      <c r="I43" s="21">
        <f>SUM('Z-高新:Z-中天鸿锂'!I43)</f>
        <v>0</v>
      </c>
      <c r="J43" s="21">
        <f>SUM('Z-高新:Z-中天鸿锂'!J43)</f>
        <v>0</v>
      </c>
      <c r="K43" s="21">
        <f>SUM('Z-高新:Z-中天鸿锂'!K43)</f>
        <v>0</v>
      </c>
      <c r="L43" s="21">
        <f>SUM('Z-高新:Z-中天鸿锂'!L43)</f>
        <v>0</v>
      </c>
      <c r="M43" s="21">
        <f>SUM('Z-高新:Z-中天鸿锂'!M43)</f>
        <v>0</v>
      </c>
      <c r="N43" s="21">
        <f>SUM('Z-高新:Z-中天鸿锂'!N43)</f>
        <v>0</v>
      </c>
      <c r="O43" s="21">
        <f>SUM('Z-高新:Z-中天鸿锂'!O43)</f>
        <v>0</v>
      </c>
      <c r="P43" s="47">
        <f t="shared" si="0"/>
        <v>38253.46</v>
      </c>
      <c r="T43" s="48"/>
    </row>
    <row r="44" s="5" customFormat="1" ht="17.25" customHeight="1" spans="1:20">
      <c r="A44" s="31"/>
      <c r="B44" s="19" t="s">
        <v>116</v>
      </c>
      <c r="C44" s="32" t="s">
        <v>117</v>
      </c>
      <c r="D44" s="21">
        <f>SUM('Z-高新:Z-中天鸿锂'!D44)</f>
        <v>0</v>
      </c>
      <c r="E44" s="21">
        <f>SUM('Z-高新:Z-中天鸿锂'!E44)</f>
        <v>0</v>
      </c>
      <c r="F44" s="21">
        <f>SUM('Z-高新:Z-中天鸿锂'!F44)</f>
        <v>0</v>
      </c>
      <c r="G44" s="21">
        <f>SUM('Z-高新:Z-中天鸿锂'!G44)</f>
        <v>0</v>
      </c>
      <c r="H44" s="21">
        <f>SUM('Z-高新:Z-中天鸿锂'!H44)</f>
        <v>0</v>
      </c>
      <c r="I44" s="21">
        <f>SUM('Z-高新:Z-中天鸿锂'!I44)</f>
        <v>0</v>
      </c>
      <c r="J44" s="21">
        <f>SUM('Z-高新:Z-中天鸿锂'!J44)</f>
        <v>0</v>
      </c>
      <c r="K44" s="21">
        <f>SUM('Z-高新:Z-中天鸿锂'!K44)</f>
        <v>0</v>
      </c>
      <c r="L44" s="21">
        <f>SUM('Z-高新:Z-中天鸿锂'!L44)</f>
        <v>0</v>
      </c>
      <c r="M44" s="21">
        <f>SUM('Z-高新:Z-中天鸿锂'!M44)</f>
        <v>0</v>
      </c>
      <c r="N44" s="21">
        <f>SUM('Z-高新:Z-中天鸿锂'!N44)</f>
        <v>0</v>
      </c>
      <c r="O44" s="21">
        <f>SUM('Z-高新:Z-中天鸿锂'!O44)</f>
        <v>0</v>
      </c>
      <c r="P44" s="47">
        <f t="shared" si="0"/>
        <v>0</v>
      </c>
      <c r="T44" s="48"/>
    </row>
    <row r="45" s="5" customFormat="1" ht="17.25" customHeight="1" spans="1:20">
      <c r="A45" s="31"/>
      <c r="B45" s="23"/>
      <c r="C45" s="32" t="s">
        <v>118</v>
      </c>
      <c r="D45" s="21">
        <f>SUM('Z-高新:Z-中天鸿锂'!D45)</f>
        <v>0</v>
      </c>
      <c r="E45" s="21">
        <f>SUM('Z-高新:Z-中天鸿锂'!E45)</f>
        <v>0</v>
      </c>
      <c r="F45" s="21">
        <f>SUM('Z-高新:Z-中天鸿锂'!F45)</f>
        <v>0</v>
      </c>
      <c r="G45" s="21">
        <f>SUM('Z-高新:Z-中天鸿锂'!G45)</f>
        <v>0</v>
      </c>
      <c r="H45" s="21">
        <f>SUM('Z-高新:Z-中天鸿锂'!H45)</f>
        <v>0</v>
      </c>
      <c r="I45" s="21">
        <f>SUM('Z-高新:Z-中天鸿锂'!I45)</f>
        <v>0</v>
      </c>
      <c r="J45" s="21">
        <f>SUM('Z-高新:Z-中天鸿锂'!J45)</f>
        <v>0</v>
      </c>
      <c r="K45" s="21">
        <f>SUM('Z-高新:Z-中天鸿锂'!K45)</f>
        <v>0</v>
      </c>
      <c r="L45" s="21">
        <f>SUM('Z-高新:Z-中天鸿锂'!L45)</f>
        <v>0</v>
      </c>
      <c r="M45" s="21">
        <f>SUM('Z-高新:Z-中天鸿锂'!M45)</f>
        <v>0</v>
      </c>
      <c r="N45" s="21">
        <f>SUM('Z-高新:Z-中天鸿锂'!N45)</f>
        <v>0</v>
      </c>
      <c r="O45" s="21">
        <f>SUM('Z-高新:Z-中天鸿锂'!O45)</f>
        <v>0</v>
      </c>
      <c r="P45" s="47">
        <f t="shared" si="0"/>
        <v>0</v>
      </c>
      <c r="T45" s="48"/>
    </row>
    <row r="46" s="5" customFormat="1" ht="17.25" customHeight="1" spans="1:20">
      <c r="A46" s="31"/>
      <c r="B46" s="26" t="s">
        <v>119</v>
      </c>
      <c r="C46" s="33" t="s">
        <v>119</v>
      </c>
      <c r="D46" s="21">
        <f>SUM('Z-高新:Z-中天鸿锂'!D46)</f>
        <v>15559727.07</v>
      </c>
      <c r="E46" s="21">
        <f>SUM('Z-高新:Z-中天鸿锂'!E46)</f>
        <v>13451743.3000001</v>
      </c>
      <c r="F46" s="21">
        <f>SUM('Z-高新:Z-中天鸿锂'!F46)</f>
        <v>13614969.21</v>
      </c>
      <c r="G46" s="21">
        <f>SUM('Z-高新:Z-中天鸿锂'!G46)</f>
        <v>12565704.8000001</v>
      </c>
      <c r="H46" s="21">
        <f>SUM('Z-高新:Z-中天鸿锂'!H46)</f>
        <v>0</v>
      </c>
      <c r="I46" s="21">
        <f>SUM('Z-高新:Z-中天鸿锂'!I46)</f>
        <v>0</v>
      </c>
      <c r="J46" s="21">
        <f>SUM('Z-高新:Z-中天鸿锂'!J46)</f>
        <v>0</v>
      </c>
      <c r="K46" s="21">
        <f>SUM('Z-高新:Z-中天鸿锂'!K46)</f>
        <v>0</v>
      </c>
      <c r="L46" s="21">
        <f>SUM('Z-高新:Z-中天鸿锂'!L46)</f>
        <v>0</v>
      </c>
      <c r="M46" s="21">
        <f>SUM('Z-高新:Z-中天鸿锂'!M46)</f>
        <v>0</v>
      </c>
      <c r="N46" s="21">
        <f>SUM('Z-高新:Z-中天鸿锂'!N46)</f>
        <v>0</v>
      </c>
      <c r="O46" s="21">
        <f>SUM('Z-高新:Z-中天鸿锂'!O46)</f>
        <v>0</v>
      </c>
      <c r="P46" s="47">
        <f t="shared" si="0"/>
        <v>55192144.3800003</v>
      </c>
      <c r="T46" s="48"/>
    </row>
    <row r="47" s="5" customFormat="1" ht="17.25" customHeight="1" spans="1:20">
      <c r="A47" s="31"/>
      <c r="B47" s="26" t="s">
        <v>120</v>
      </c>
      <c r="C47" s="33" t="s">
        <v>120</v>
      </c>
      <c r="D47" s="21">
        <f>SUM('Z-高新:Z-中天鸿锂'!D47)</f>
        <v>0</v>
      </c>
      <c r="E47" s="21">
        <f>SUM('Z-高新:Z-中天鸿锂'!E47)</f>
        <v>0</v>
      </c>
      <c r="F47" s="21">
        <f>SUM('Z-高新:Z-中天鸿锂'!F47)</f>
        <v>0</v>
      </c>
      <c r="G47" s="21">
        <f>SUM('Z-高新:Z-中天鸿锂'!G47)</f>
        <v>0</v>
      </c>
      <c r="H47" s="21">
        <f>SUM('Z-高新:Z-中天鸿锂'!H47)</f>
        <v>0</v>
      </c>
      <c r="I47" s="21">
        <f>SUM('Z-高新:Z-中天鸿锂'!I47)</f>
        <v>0</v>
      </c>
      <c r="J47" s="21">
        <f>SUM('Z-高新:Z-中天鸿锂'!J47)</f>
        <v>0</v>
      </c>
      <c r="K47" s="21">
        <f>SUM('Z-高新:Z-中天鸿锂'!K47)</f>
        <v>0</v>
      </c>
      <c r="L47" s="21">
        <f>SUM('Z-高新:Z-中天鸿锂'!L47)</f>
        <v>0</v>
      </c>
      <c r="M47" s="21">
        <f>SUM('Z-高新:Z-中天鸿锂'!M47)</f>
        <v>0</v>
      </c>
      <c r="N47" s="21">
        <f>SUM('Z-高新:Z-中天鸿锂'!N47)</f>
        <v>0</v>
      </c>
      <c r="O47" s="21">
        <f>SUM('Z-高新:Z-中天鸿锂'!O47)</f>
        <v>0</v>
      </c>
      <c r="P47" s="47">
        <f t="shared" si="0"/>
        <v>0</v>
      </c>
      <c r="T47" s="48"/>
    </row>
    <row r="48" s="5" customFormat="1" ht="17.25" customHeight="1" spans="1:20">
      <c r="A48" s="31"/>
      <c r="B48" s="34" t="s">
        <v>121</v>
      </c>
      <c r="C48" s="35" t="s">
        <v>121</v>
      </c>
      <c r="D48" s="21">
        <f>SUM('Z-高新:Z-中天鸿锂'!D48)</f>
        <v>247506.44</v>
      </c>
      <c r="E48" s="21">
        <f>SUM('Z-高新:Z-中天鸿锂'!E48)</f>
        <v>240407.38</v>
      </c>
      <c r="F48" s="21">
        <f>SUM('Z-高新:Z-中天鸿锂'!F48)</f>
        <v>241587.25</v>
      </c>
      <c r="G48" s="21">
        <f>SUM('Z-高新:Z-中天鸿锂'!G48)</f>
        <v>281784.94</v>
      </c>
      <c r="H48" s="21">
        <f>SUM('Z-高新:Z-中天鸿锂'!H48)</f>
        <v>0</v>
      </c>
      <c r="I48" s="21">
        <f>SUM('Z-高新:Z-中天鸿锂'!I48)</f>
        <v>0</v>
      </c>
      <c r="J48" s="21">
        <f>SUM('Z-高新:Z-中天鸿锂'!J48)</f>
        <v>0</v>
      </c>
      <c r="K48" s="21">
        <f>SUM('Z-高新:Z-中天鸿锂'!K48)</f>
        <v>0</v>
      </c>
      <c r="L48" s="21">
        <f>SUM('Z-高新:Z-中天鸿锂'!L48)</f>
        <v>0</v>
      </c>
      <c r="M48" s="21">
        <f>SUM('Z-高新:Z-中天鸿锂'!M48)</f>
        <v>0</v>
      </c>
      <c r="N48" s="21">
        <f>SUM('Z-高新:Z-中天鸿锂'!N48)</f>
        <v>0</v>
      </c>
      <c r="O48" s="21">
        <f>SUM('Z-高新:Z-中天鸿锂'!O48)</f>
        <v>0</v>
      </c>
      <c r="P48" s="47">
        <f t="shared" si="0"/>
        <v>1011286.01</v>
      </c>
      <c r="T48" s="48"/>
    </row>
    <row r="49" s="5" customFormat="1" ht="17.25" customHeight="1" spans="1:20">
      <c r="A49" s="36" t="s">
        <v>122</v>
      </c>
      <c r="B49" s="37" t="s">
        <v>123</v>
      </c>
      <c r="C49" s="33" t="s">
        <v>124</v>
      </c>
      <c r="D49" s="21">
        <f>SUM('Z-高新:Z-中天鸿锂'!D49)</f>
        <v>2379276.56</v>
      </c>
      <c r="E49" s="21">
        <f>SUM('Z-高新:Z-中天鸿锂'!E49)</f>
        <v>-113558.29</v>
      </c>
      <c r="F49" s="21">
        <f>SUM('Z-高新:Z-中天鸿锂'!F49)</f>
        <v>2719963.82</v>
      </c>
      <c r="G49" s="21">
        <f>SUM('Z-高新:Z-中天鸿锂'!G49)</f>
        <v>3483127.68</v>
      </c>
      <c r="H49" s="21">
        <f>SUM('Z-高新:Z-中天鸿锂'!H49)</f>
        <v>0</v>
      </c>
      <c r="I49" s="21">
        <f>SUM('Z-高新:Z-中天鸿锂'!I49)</f>
        <v>0</v>
      </c>
      <c r="J49" s="21">
        <f>SUM('Z-高新:Z-中天鸿锂'!J49)</f>
        <v>0</v>
      </c>
      <c r="K49" s="21">
        <f>SUM('Z-高新:Z-中天鸿锂'!K49)</f>
        <v>0</v>
      </c>
      <c r="L49" s="21">
        <f>SUM('Z-高新:Z-中天鸿锂'!L49)</f>
        <v>0</v>
      </c>
      <c r="M49" s="21">
        <f>SUM('Z-高新:Z-中天鸿锂'!M49)</f>
        <v>0</v>
      </c>
      <c r="N49" s="21">
        <f>SUM('Z-高新:Z-中天鸿锂'!N49)</f>
        <v>0</v>
      </c>
      <c r="O49" s="21">
        <f>SUM('Z-高新:Z-中天鸿锂'!O49)</f>
        <v>0</v>
      </c>
      <c r="P49" s="47">
        <f t="shared" si="0"/>
        <v>8468809.77</v>
      </c>
      <c r="T49" s="48"/>
    </row>
    <row r="50" s="5" customFormat="1" ht="17.25" customHeight="1" spans="1:20">
      <c r="A50" s="36"/>
      <c r="B50" s="38"/>
      <c r="C50" s="33" t="s">
        <v>125</v>
      </c>
      <c r="D50" s="21">
        <f>SUM('Z-高新:Z-中天鸿锂'!D50)</f>
        <v>0</v>
      </c>
      <c r="E50" s="21">
        <f>SUM('Z-高新:Z-中天鸿锂'!E50)</f>
        <v>0</v>
      </c>
      <c r="F50" s="21">
        <f>SUM('Z-高新:Z-中天鸿锂'!F50)</f>
        <v>0</v>
      </c>
      <c r="G50" s="21">
        <f>SUM('Z-高新:Z-中天鸿锂'!G50)</f>
        <v>0</v>
      </c>
      <c r="H50" s="21">
        <f>SUM('Z-高新:Z-中天鸿锂'!H50)</f>
        <v>0</v>
      </c>
      <c r="I50" s="21">
        <f>SUM('Z-高新:Z-中天鸿锂'!I50)</f>
        <v>0</v>
      </c>
      <c r="J50" s="21">
        <f>SUM('Z-高新:Z-中天鸿锂'!J50)</f>
        <v>0</v>
      </c>
      <c r="K50" s="21">
        <f>SUM('Z-高新:Z-中天鸿锂'!K50)</f>
        <v>0</v>
      </c>
      <c r="L50" s="21">
        <f>SUM('Z-高新:Z-中天鸿锂'!L50)</f>
        <v>0</v>
      </c>
      <c r="M50" s="21">
        <f>SUM('Z-高新:Z-中天鸿锂'!M50)</f>
        <v>0</v>
      </c>
      <c r="N50" s="21">
        <f>SUM('Z-高新:Z-中天鸿锂'!N50)</f>
        <v>0</v>
      </c>
      <c r="O50" s="21">
        <f>SUM('Z-高新:Z-中天鸿锂'!O50)</f>
        <v>0</v>
      </c>
      <c r="P50" s="47">
        <f t="shared" si="0"/>
        <v>0</v>
      </c>
      <c r="T50" s="48"/>
    </row>
    <row r="51" s="5" customFormat="1" ht="17.25" customHeight="1" spans="1:20">
      <c r="A51" s="36"/>
      <c r="B51" s="39"/>
      <c r="C51" s="33" t="s">
        <v>83</v>
      </c>
      <c r="D51" s="21">
        <f>SUM('Z-高新:Z-中天鸿锂'!D51)</f>
        <v>0</v>
      </c>
      <c r="E51" s="21">
        <f>SUM('Z-高新:Z-中天鸿锂'!E51)</f>
        <v>0</v>
      </c>
      <c r="F51" s="21">
        <f>SUM('Z-高新:Z-中天鸿锂'!F51)</f>
        <v>0</v>
      </c>
      <c r="G51" s="21">
        <f>SUM('Z-高新:Z-中天鸿锂'!G51)</f>
        <v>0</v>
      </c>
      <c r="H51" s="21">
        <f>SUM('Z-高新:Z-中天鸿锂'!H51)</f>
        <v>0</v>
      </c>
      <c r="I51" s="21">
        <f>SUM('Z-高新:Z-中天鸿锂'!I51)</f>
        <v>0</v>
      </c>
      <c r="J51" s="21">
        <f>SUM('Z-高新:Z-中天鸿锂'!J51)</f>
        <v>0</v>
      </c>
      <c r="K51" s="21">
        <f>SUM('Z-高新:Z-中天鸿锂'!K51)</f>
        <v>0</v>
      </c>
      <c r="L51" s="21">
        <f>SUM('Z-高新:Z-中天鸿锂'!L51)</f>
        <v>0</v>
      </c>
      <c r="M51" s="21">
        <f>SUM('Z-高新:Z-中天鸿锂'!M51)</f>
        <v>0</v>
      </c>
      <c r="N51" s="21">
        <f>SUM('Z-高新:Z-中天鸿锂'!N51)</f>
        <v>0</v>
      </c>
      <c r="O51" s="21">
        <f>SUM('Z-高新:Z-中天鸿锂'!O51)</f>
        <v>0</v>
      </c>
      <c r="P51" s="47">
        <f t="shared" si="0"/>
        <v>0</v>
      </c>
      <c r="T51" s="48"/>
    </row>
    <row r="52" s="5" customFormat="1" ht="17.25" customHeight="1" spans="1:20">
      <c r="A52" s="36"/>
      <c r="B52" s="19" t="s">
        <v>126</v>
      </c>
      <c r="C52" s="33" t="s">
        <v>127</v>
      </c>
      <c r="D52" s="21">
        <f>SUM('Z-高新:Z-中天鸿锂'!D52)</f>
        <v>33681.77</v>
      </c>
      <c r="E52" s="21">
        <f>SUM('Z-高新:Z-中天鸿锂'!E52)</f>
        <v>150422.85</v>
      </c>
      <c r="F52" s="21">
        <f>SUM('Z-高新:Z-中天鸿锂'!F52)</f>
        <v>66923.17</v>
      </c>
      <c r="G52" s="21">
        <f>SUM('Z-高新:Z-中天鸿锂'!G52)</f>
        <v>0</v>
      </c>
      <c r="H52" s="21">
        <f>SUM('Z-高新:Z-中天鸿锂'!H52)</f>
        <v>0</v>
      </c>
      <c r="I52" s="21">
        <f>SUM('Z-高新:Z-中天鸿锂'!I52)</f>
        <v>0</v>
      </c>
      <c r="J52" s="21">
        <f>SUM('Z-高新:Z-中天鸿锂'!J52)</f>
        <v>0</v>
      </c>
      <c r="K52" s="21">
        <f>SUM('Z-高新:Z-中天鸿锂'!K52)</f>
        <v>0</v>
      </c>
      <c r="L52" s="21">
        <f>SUM('Z-高新:Z-中天鸿锂'!L52)</f>
        <v>0</v>
      </c>
      <c r="M52" s="21">
        <f>SUM('Z-高新:Z-中天鸿锂'!M52)</f>
        <v>0</v>
      </c>
      <c r="N52" s="21">
        <f>SUM('Z-高新:Z-中天鸿锂'!N52)</f>
        <v>0</v>
      </c>
      <c r="O52" s="21">
        <f>SUM('Z-高新:Z-中天鸿锂'!O52)</f>
        <v>0</v>
      </c>
      <c r="P52" s="47">
        <f t="shared" si="0"/>
        <v>251027.79</v>
      </c>
      <c r="T52" s="48"/>
    </row>
    <row r="53" s="5" customFormat="1" ht="17.25" customHeight="1" spans="1:20">
      <c r="A53" s="36"/>
      <c r="B53" s="24"/>
      <c r="C53" s="33" t="s">
        <v>128</v>
      </c>
      <c r="D53" s="21">
        <f>SUM('Z-高新:Z-中天鸿锂'!D53)</f>
        <v>-3714.84</v>
      </c>
      <c r="E53" s="21">
        <f>SUM('Z-高新:Z-中天鸿锂'!E53)</f>
        <v>-6942.76</v>
      </c>
      <c r="F53" s="21">
        <f>SUM('Z-高新:Z-中天鸿锂'!F53)</f>
        <v>-12950.72</v>
      </c>
      <c r="G53" s="21">
        <f>SUM('Z-高新:Z-中天鸿锂'!G53)</f>
        <v>265177.6</v>
      </c>
      <c r="H53" s="21">
        <f>SUM('Z-高新:Z-中天鸿锂'!H53)</f>
        <v>0</v>
      </c>
      <c r="I53" s="21">
        <f>SUM('Z-高新:Z-中天鸿锂'!I53)</f>
        <v>0</v>
      </c>
      <c r="J53" s="21">
        <f>SUM('Z-高新:Z-中天鸿锂'!J53)</f>
        <v>0</v>
      </c>
      <c r="K53" s="21">
        <f>SUM('Z-高新:Z-中天鸿锂'!K53)</f>
        <v>0</v>
      </c>
      <c r="L53" s="21">
        <f>SUM('Z-高新:Z-中天鸿锂'!L53)</f>
        <v>0</v>
      </c>
      <c r="M53" s="21">
        <f>SUM('Z-高新:Z-中天鸿锂'!M53)</f>
        <v>0</v>
      </c>
      <c r="N53" s="21">
        <f>SUM('Z-高新:Z-中天鸿锂'!N53)</f>
        <v>0</v>
      </c>
      <c r="O53" s="21">
        <f>SUM('Z-高新:Z-中天鸿锂'!O53)</f>
        <v>0</v>
      </c>
      <c r="P53" s="47">
        <f t="shared" si="0"/>
        <v>241569.28</v>
      </c>
      <c r="T53" s="48"/>
    </row>
    <row r="54" s="5" customFormat="1" ht="17.25" customHeight="1" spans="1:20">
      <c r="A54" s="36"/>
      <c r="B54" s="23"/>
      <c r="C54" s="33" t="s">
        <v>83</v>
      </c>
      <c r="D54" s="21">
        <f>SUM('Z-高新:Z-中天鸿锂'!D54)</f>
        <v>0</v>
      </c>
      <c r="E54" s="21">
        <f>SUM('Z-高新:Z-中天鸿锂'!E54)</f>
        <v>2330.57</v>
      </c>
      <c r="F54" s="21">
        <f>SUM('Z-高新:Z-中天鸿锂'!F54)</f>
        <v>0</v>
      </c>
      <c r="G54" s="21">
        <f>SUM('Z-高新:Z-中天鸿锂'!G54)</f>
        <v>0</v>
      </c>
      <c r="H54" s="21">
        <f>SUM('Z-高新:Z-中天鸿锂'!H54)</f>
        <v>0</v>
      </c>
      <c r="I54" s="21">
        <f>SUM('Z-高新:Z-中天鸿锂'!I54)</f>
        <v>0</v>
      </c>
      <c r="J54" s="21">
        <f>SUM('Z-高新:Z-中天鸿锂'!J54)</f>
        <v>0</v>
      </c>
      <c r="K54" s="21">
        <f>SUM('Z-高新:Z-中天鸿锂'!K54)</f>
        <v>0</v>
      </c>
      <c r="L54" s="21">
        <f>SUM('Z-高新:Z-中天鸿锂'!L54)</f>
        <v>0</v>
      </c>
      <c r="M54" s="21">
        <f>SUM('Z-高新:Z-中天鸿锂'!M54)</f>
        <v>0</v>
      </c>
      <c r="N54" s="21">
        <f>SUM('Z-高新:Z-中天鸿锂'!N54)</f>
        <v>0</v>
      </c>
      <c r="O54" s="21">
        <f>SUM('Z-高新:Z-中天鸿锂'!O54)</f>
        <v>0</v>
      </c>
      <c r="P54" s="47">
        <f t="shared" si="0"/>
        <v>2330.57</v>
      </c>
      <c r="T54" s="48"/>
    </row>
    <row r="55" s="5" customFormat="1" ht="17.25" customHeight="1" spans="1:20">
      <c r="A55" s="36"/>
      <c r="B55" s="40" t="s">
        <v>129</v>
      </c>
      <c r="C55" s="33" t="s">
        <v>129</v>
      </c>
      <c r="D55" s="21">
        <f>SUM('Z-高新:Z-中天鸿锂'!D55)</f>
        <v>2836.55</v>
      </c>
      <c r="E55" s="21">
        <f>SUM('Z-高新:Z-中天鸿锂'!E55)</f>
        <v>2836.56</v>
      </c>
      <c r="F55" s="21">
        <f>SUM('Z-高新:Z-中天鸿锂'!F55)</f>
        <v>2836.55</v>
      </c>
      <c r="G55" s="21">
        <f>SUM('Z-高新:Z-中天鸿锂'!G55)</f>
        <v>2836.56</v>
      </c>
      <c r="H55" s="21">
        <f>SUM('Z-高新:Z-中天鸿锂'!H55)</f>
        <v>0</v>
      </c>
      <c r="I55" s="21">
        <f>SUM('Z-高新:Z-中天鸿锂'!I55)</f>
        <v>0</v>
      </c>
      <c r="J55" s="21">
        <f>SUM('Z-高新:Z-中天鸿锂'!J55)</f>
        <v>0</v>
      </c>
      <c r="K55" s="21">
        <f>SUM('Z-高新:Z-中天鸿锂'!K55)</f>
        <v>0</v>
      </c>
      <c r="L55" s="21">
        <f>SUM('Z-高新:Z-中天鸿锂'!L55)</f>
        <v>0</v>
      </c>
      <c r="M55" s="21">
        <f>SUM('Z-高新:Z-中天鸿锂'!M55)</f>
        <v>0</v>
      </c>
      <c r="N55" s="21">
        <f>SUM('Z-高新:Z-中天鸿锂'!N55)</f>
        <v>0</v>
      </c>
      <c r="O55" s="21">
        <f>SUM('Z-高新:Z-中天鸿锂'!O55)</f>
        <v>0</v>
      </c>
      <c r="P55" s="47">
        <f t="shared" si="0"/>
        <v>11346.22</v>
      </c>
      <c r="T55" s="48"/>
    </row>
    <row r="56" s="5" customFormat="1" ht="17.25" customHeight="1" spans="1:20">
      <c r="A56" s="36"/>
      <c r="B56" s="40" t="s">
        <v>130</v>
      </c>
      <c r="C56" s="33" t="s">
        <v>130</v>
      </c>
      <c r="D56" s="21">
        <f>SUM('Z-高新:Z-中天鸿锂'!D56)</f>
        <v>0</v>
      </c>
      <c r="E56" s="21">
        <f>SUM('Z-高新:Z-中天鸿锂'!E56)</f>
        <v>0</v>
      </c>
      <c r="F56" s="21">
        <f>SUM('Z-高新:Z-中天鸿锂'!F56)</f>
        <v>0</v>
      </c>
      <c r="G56" s="21">
        <f>SUM('Z-高新:Z-中天鸿锂'!G56)</f>
        <v>0</v>
      </c>
      <c r="H56" s="21">
        <f>SUM('Z-高新:Z-中天鸿锂'!H56)</f>
        <v>0</v>
      </c>
      <c r="I56" s="21">
        <f>SUM('Z-高新:Z-中天鸿锂'!I56)</f>
        <v>0</v>
      </c>
      <c r="J56" s="21">
        <f>SUM('Z-高新:Z-中天鸿锂'!J56)</f>
        <v>0</v>
      </c>
      <c r="K56" s="21">
        <f>SUM('Z-高新:Z-中天鸿锂'!K56)</f>
        <v>0</v>
      </c>
      <c r="L56" s="21">
        <f>SUM('Z-高新:Z-中天鸿锂'!L56)</f>
        <v>0</v>
      </c>
      <c r="M56" s="21">
        <f>SUM('Z-高新:Z-中天鸿锂'!M56)</f>
        <v>0</v>
      </c>
      <c r="N56" s="21">
        <f>SUM('Z-高新:Z-中天鸿锂'!N56)</f>
        <v>0</v>
      </c>
      <c r="O56" s="21">
        <f>SUM('Z-高新:Z-中天鸿锂'!O56)</f>
        <v>0</v>
      </c>
      <c r="P56" s="47">
        <f t="shared" si="0"/>
        <v>0</v>
      </c>
      <c r="T56" s="48"/>
    </row>
    <row r="57" s="5" customFormat="1" ht="17.25" customHeight="1" spans="1:20">
      <c r="A57" s="41" t="s">
        <v>131</v>
      </c>
      <c r="B57" s="26" t="s">
        <v>132</v>
      </c>
      <c r="C57" s="33" t="s">
        <v>132</v>
      </c>
      <c r="D57" s="21">
        <f>SUM('Z-高新:Z-中天鸿锂'!D57)</f>
        <v>2460</v>
      </c>
      <c r="E57" s="21">
        <f>SUM('Z-高新:Z-中天鸿锂'!E57)</f>
        <v>0</v>
      </c>
      <c r="F57" s="21">
        <f>SUM('Z-高新:Z-中天鸿锂'!F57)</f>
        <v>2686</v>
      </c>
      <c r="G57" s="21">
        <f>SUM('Z-高新:Z-中天鸿锂'!G57)</f>
        <v>2280</v>
      </c>
      <c r="H57" s="21">
        <f>SUM('Z-高新:Z-中天鸿锂'!H57)</f>
        <v>0</v>
      </c>
      <c r="I57" s="21">
        <f>SUM('Z-高新:Z-中天鸿锂'!I57)</f>
        <v>0</v>
      </c>
      <c r="J57" s="21">
        <f>SUM('Z-高新:Z-中天鸿锂'!J57)</f>
        <v>0</v>
      </c>
      <c r="K57" s="21">
        <f>SUM('Z-高新:Z-中天鸿锂'!K57)</f>
        <v>0</v>
      </c>
      <c r="L57" s="21">
        <f>SUM('Z-高新:Z-中天鸿锂'!L57)</f>
        <v>0</v>
      </c>
      <c r="M57" s="21">
        <f>SUM('Z-高新:Z-中天鸿锂'!M57)</f>
        <v>0</v>
      </c>
      <c r="N57" s="21">
        <f>SUM('Z-高新:Z-中天鸿锂'!N57)</f>
        <v>0</v>
      </c>
      <c r="O57" s="21">
        <f>SUM('Z-高新:Z-中天鸿锂'!O57)</f>
        <v>0</v>
      </c>
      <c r="P57" s="47">
        <f t="shared" si="0"/>
        <v>7426</v>
      </c>
      <c r="T57" s="48"/>
    </row>
    <row r="58" s="5" customFormat="1" ht="17.25" customHeight="1" spans="1:20">
      <c r="A58" s="41"/>
      <c r="B58" s="37" t="s">
        <v>133</v>
      </c>
      <c r="C58" s="33" t="s">
        <v>133</v>
      </c>
      <c r="D58" s="21">
        <f>SUM('Z-高新:Z-中天鸿锂'!D58)</f>
        <v>0</v>
      </c>
      <c r="E58" s="21">
        <f>SUM('Z-高新:Z-中天鸿锂'!E58)</f>
        <v>0</v>
      </c>
      <c r="F58" s="21">
        <f>SUM('Z-高新:Z-中天鸿锂'!F58)</f>
        <v>0</v>
      </c>
      <c r="G58" s="21">
        <f>SUM('Z-高新:Z-中天鸿锂'!G58)</f>
        <v>0</v>
      </c>
      <c r="H58" s="21">
        <f>SUM('Z-高新:Z-中天鸿锂'!H58)</f>
        <v>0</v>
      </c>
      <c r="I58" s="21">
        <f>SUM('Z-高新:Z-中天鸿锂'!I58)</f>
        <v>0</v>
      </c>
      <c r="J58" s="21">
        <f>SUM('Z-高新:Z-中天鸿锂'!J58)</f>
        <v>0</v>
      </c>
      <c r="K58" s="21">
        <f>SUM('Z-高新:Z-中天鸿锂'!K58)</f>
        <v>0</v>
      </c>
      <c r="L58" s="21">
        <f>SUM('Z-高新:Z-中天鸿锂'!L58)</f>
        <v>0</v>
      </c>
      <c r="M58" s="21">
        <f>SUM('Z-高新:Z-中天鸿锂'!M58)</f>
        <v>0</v>
      </c>
      <c r="N58" s="21">
        <f>SUM('Z-高新:Z-中天鸿锂'!N58)</f>
        <v>0</v>
      </c>
      <c r="O58" s="21">
        <f>SUM('Z-高新:Z-中天鸿锂'!O58)</f>
        <v>0</v>
      </c>
      <c r="P58" s="47">
        <f t="shared" si="0"/>
        <v>0</v>
      </c>
      <c r="T58" s="48"/>
    </row>
    <row r="59" s="5" customFormat="1" ht="17.25" customHeight="1" spans="1:20">
      <c r="A59" s="41"/>
      <c r="B59" s="37" t="s">
        <v>134</v>
      </c>
      <c r="C59" s="33" t="s">
        <v>135</v>
      </c>
      <c r="D59" s="21">
        <f>SUM('Z-高新:Z-中天鸿锂'!D59)</f>
        <v>0</v>
      </c>
      <c r="E59" s="21">
        <f>SUM('Z-高新:Z-中天鸿锂'!E59)</f>
        <v>0</v>
      </c>
      <c r="F59" s="21">
        <f>SUM('Z-高新:Z-中天鸿锂'!F59)</f>
        <v>0</v>
      </c>
      <c r="G59" s="21">
        <f>SUM('Z-高新:Z-中天鸿锂'!G59)</f>
        <v>0</v>
      </c>
      <c r="H59" s="21">
        <f>SUM('Z-高新:Z-中天鸿锂'!H59)</f>
        <v>0</v>
      </c>
      <c r="I59" s="21">
        <f>SUM('Z-高新:Z-中天鸿锂'!I59)</f>
        <v>0</v>
      </c>
      <c r="J59" s="21">
        <f>SUM('Z-高新:Z-中天鸿锂'!J59)</f>
        <v>0</v>
      </c>
      <c r="K59" s="21">
        <f>SUM('Z-高新:Z-中天鸿锂'!K59)</f>
        <v>0</v>
      </c>
      <c r="L59" s="21">
        <f>SUM('Z-高新:Z-中天鸿锂'!L59)</f>
        <v>0</v>
      </c>
      <c r="M59" s="21">
        <f>SUM('Z-高新:Z-中天鸿锂'!M59)</f>
        <v>0</v>
      </c>
      <c r="N59" s="21">
        <f>SUM('Z-高新:Z-中天鸿锂'!N59)</f>
        <v>0</v>
      </c>
      <c r="O59" s="21">
        <f>SUM('Z-高新:Z-中天鸿锂'!O59)</f>
        <v>0</v>
      </c>
      <c r="P59" s="47">
        <f t="shared" si="0"/>
        <v>0</v>
      </c>
      <c r="T59" s="48"/>
    </row>
    <row r="60" s="5" customFormat="1" ht="17.25" customHeight="1" spans="1:20">
      <c r="A60" s="41"/>
      <c r="B60" s="39"/>
      <c r="C60" s="33" t="s">
        <v>83</v>
      </c>
      <c r="D60" s="21">
        <f>SUM('Z-高新:Z-中天鸿锂'!D60)</f>
        <v>0</v>
      </c>
      <c r="E60" s="21">
        <f>SUM('Z-高新:Z-中天鸿锂'!E60)</f>
        <v>0</v>
      </c>
      <c r="F60" s="21">
        <f>SUM('Z-高新:Z-中天鸿锂'!F60)</f>
        <v>0</v>
      </c>
      <c r="G60" s="21">
        <f>SUM('Z-高新:Z-中天鸿锂'!G60)</f>
        <v>0</v>
      </c>
      <c r="H60" s="21">
        <f>SUM('Z-高新:Z-中天鸿锂'!H60)</f>
        <v>0</v>
      </c>
      <c r="I60" s="21">
        <f>SUM('Z-高新:Z-中天鸿锂'!I60)</f>
        <v>0</v>
      </c>
      <c r="J60" s="21">
        <f>SUM('Z-高新:Z-中天鸿锂'!J60)</f>
        <v>0</v>
      </c>
      <c r="K60" s="21">
        <f>SUM('Z-高新:Z-中天鸿锂'!K60)</f>
        <v>0</v>
      </c>
      <c r="L60" s="21">
        <f>SUM('Z-高新:Z-中天鸿锂'!L60)</f>
        <v>0</v>
      </c>
      <c r="M60" s="21">
        <f>SUM('Z-高新:Z-中天鸿锂'!M60)</f>
        <v>0</v>
      </c>
      <c r="N60" s="21">
        <f>SUM('Z-高新:Z-中天鸿锂'!N60)</f>
        <v>0</v>
      </c>
      <c r="O60" s="21">
        <f>SUM('Z-高新:Z-中天鸿锂'!O60)</f>
        <v>0</v>
      </c>
      <c r="P60" s="47">
        <f t="shared" si="0"/>
        <v>0</v>
      </c>
      <c r="T60" s="48"/>
    </row>
    <row r="61" s="5" customFormat="1" ht="17.25" customHeight="1" spans="1:20">
      <c r="A61" s="41"/>
      <c r="B61" s="40" t="s">
        <v>136</v>
      </c>
      <c r="C61" s="33" t="s">
        <v>136</v>
      </c>
      <c r="D61" s="21">
        <f>SUM('Z-高新:Z-中天鸿锂'!D61)</f>
        <v>0</v>
      </c>
      <c r="E61" s="21">
        <f>SUM('Z-高新:Z-中天鸿锂'!E61)</f>
        <v>0</v>
      </c>
      <c r="F61" s="21">
        <f>SUM('Z-高新:Z-中天鸿锂'!F61)</f>
        <v>0</v>
      </c>
      <c r="G61" s="21">
        <f>SUM('Z-高新:Z-中天鸿锂'!G61)</f>
        <v>0</v>
      </c>
      <c r="H61" s="21">
        <f>SUM('Z-高新:Z-中天鸿锂'!H61)</f>
        <v>0</v>
      </c>
      <c r="I61" s="21">
        <f>SUM('Z-高新:Z-中天鸿锂'!I61)</f>
        <v>0</v>
      </c>
      <c r="J61" s="21">
        <f>SUM('Z-高新:Z-中天鸿锂'!J61)</f>
        <v>0</v>
      </c>
      <c r="K61" s="21">
        <f>SUM('Z-高新:Z-中天鸿锂'!K61)</f>
        <v>0</v>
      </c>
      <c r="L61" s="21">
        <f>SUM('Z-高新:Z-中天鸿锂'!L61)</f>
        <v>0</v>
      </c>
      <c r="M61" s="21">
        <f>SUM('Z-高新:Z-中天鸿锂'!M61)</f>
        <v>0</v>
      </c>
      <c r="N61" s="21">
        <f>SUM('Z-高新:Z-中天鸿锂'!N61)</f>
        <v>0</v>
      </c>
      <c r="O61" s="21">
        <f>SUM('Z-高新:Z-中天鸿锂'!O61)</f>
        <v>0</v>
      </c>
      <c r="P61" s="47">
        <f t="shared" si="0"/>
        <v>0</v>
      </c>
      <c r="T61" s="48"/>
    </row>
    <row r="62" s="5" customFormat="1" ht="17.25" customHeight="1" spans="1:20">
      <c r="A62" s="41"/>
      <c r="B62" s="26" t="s">
        <v>137</v>
      </c>
      <c r="C62" s="33" t="s">
        <v>137</v>
      </c>
      <c r="D62" s="21">
        <f>SUM('Z-高新:Z-中天鸿锂'!D62)</f>
        <v>0</v>
      </c>
      <c r="E62" s="21">
        <f>SUM('Z-高新:Z-中天鸿锂'!E62)</f>
        <v>0</v>
      </c>
      <c r="F62" s="21">
        <f>SUM('Z-高新:Z-中天鸿锂'!F62)</f>
        <v>0</v>
      </c>
      <c r="G62" s="21">
        <f>SUM('Z-高新:Z-中天鸿锂'!G62)</f>
        <v>0</v>
      </c>
      <c r="H62" s="21">
        <f>SUM('Z-高新:Z-中天鸿锂'!H62)</f>
        <v>0</v>
      </c>
      <c r="I62" s="21">
        <f>SUM('Z-高新:Z-中天鸿锂'!I62)</f>
        <v>0</v>
      </c>
      <c r="J62" s="21">
        <f>SUM('Z-高新:Z-中天鸿锂'!J62)</f>
        <v>0</v>
      </c>
      <c r="K62" s="21">
        <f>SUM('Z-高新:Z-中天鸿锂'!K62)</f>
        <v>0</v>
      </c>
      <c r="L62" s="21">
        <f>SUM('Z-高新:Z-中天鸿锂'!L62)</f>
        <v>0</v>
      </c>
      <c r="M62" s="21">
        <f>SUM('Z-高新:Z-中天鸿锂'!M62)</f>
        <v>0</v>
      </c>
      <c r="N62" s="21">
        <f>SUM('Z-高新:Z-中天鸿锂'!N62)</f>
        <v>0</v>
      </c>
      <c r="O62" s="21">
        <f>SUM('Z-高新:Z-中天鸿锂'!O62)</f>
        <v>0</v>
      </c>
      <c r="P62" s="47">
        <f t="shared" si="0"/>
        <v>0</v>
      </c>
      <c r="T62" s="48"/>
    </row>
    <row r="63" s="5" customFormat="1" ht="17.25" customHeight="1" spans="1:20">
      <c r="A63" s="42" t="s">
        <v>138</v>
      </c>
      <c r="B63" s="43" t="s">
        <v>139</v>
      </c>
      <c r="C63" s="33" t="s">
        <v>139</v>
      </c>
      <c r="D63" s="21">
        <f>SUM('Z-高新:Z-中天鸿锂'!D63)</f>
        <v>624425.69</v>
      </c>
      <c r="E63" s="21">
        <f>SUM('Z-高新:Z-中天鸿锂'!E63)</f>
        <v>3005286.69000001</v>
      </c>
      <c r="F63" s="21">
        <f>SUM('Z-高新:Z-中天鸿锂'!F63)</f>
        <v>2044880.51</v>
      </c>
      <c r="G63" s="21">
        <f>SUM('Z-高新:Z-中天鸿锂'!G63)</f>
        <v>2037628.29</v>
      </c>
      <c r="H63" s="21">
        <f>SUM('Z-高新:Z-中天鸿锂'!H63)</f>
        <v>0</v>
      </c>
      <c r="I63" s="21">
        <f>SUM('Z-高新:Z-中天鸿锂'!I63)</f>
        <v>0</v>
      </c>
      <c r="J63" s="21">
        <f>SUM('Z-高新:Z-中天鸿锂'!J63)</f>
        <v>0</v>
      </c>
      <c r="K63" s="21">
        <f>SUM('Z-高新:Z-中天鸿锂'!K63)</f>
        <v>0</v>
      </c>
      <c r="L63" s="21">
        <f>SUM('Z-高新:Z-中天鸿锂'!L63)</f>
        <v>0</v>
      </c>
      <c r="M63" s="21">
        <f>SUM('Z-高新:Z-中天鸿锂'!M63)</f>
        <v>0</v>
      </c>
      <c r="N63" s="21">
        <f>SUM('Z-高新:Z-中天鸿锂'!N63)</f>
        <v>0</v>
      </c>
      <c r="O63" s="21">
        <f>SUM('Z-高新:Z-中天鸿锂'!O63)</f>
        <v>0</v>
      </c>
      <c r="P63" s="47">
        <f t="shared" si="0"/>
        <v>7712221.18000001</v>
      </c>
      <c r="T63" s="48"/>
    </row>
    <row r="64" s="5" customFormat="1" ht="17.25" customHeight="1" spans="1:20">
      <c r="A64" s="42"/>
      <c r="B64" s="43" t="s">
        <v>140</v>
      </c>
      <c r="C64" s="33" t="s">
        <v>140</v>
      </c>
      <c r="D64" s="21">
        <f>SUM('Z-高新:Z-中天鸿锂'!D64)</f>
        <v>288027.44</v>
      </c>
      <c r="E64" s="21">
        <f>SUM('Z-高新:Z-中天鸿锂'!E64)</f>
        <v>155059.67</v>
      </c>
      <c r="F64" s="21">
        <f>SUM('Z-高新:Z-中天鸿锂'!F64)</f>
        <v>284179.32</v>
      </c>
      <c r="G64" s="21">
        <f>SUM('Z-高新:Z-中天鸿锂'!G64)</f>
        <v>268112.91</v>
      </c>
      <c r="H64" s="21">
        <f>SUM('Z-高新:Z-中天鸿锂'!H64)</f>
        <v>0</v>
      </c>
      <c r="I64" s="21">
        <f>SUM('Z-高新:Z-中天鸿锂'!I64)</f>
        <v>0</v>
      </c>
      <c r="J64" s="21">
        <f>SUM('Z-高新:Z-中天鸿锂'!J64)</f>
        <v>0</v>
      </c>
      <c r="K64" s="21">
        <f>SUM('Z-高新:Z-中天鸿锂'!K64)</f>
        <v>0</v>
      </c>
      <c r="L64" s="21">
        <f>SUM('Z-高新:Z-中天鸿锂'!L64)</f>
        <v>0</v>
      </c>
      <c r="M64" s="21">
        <f>SUM('Z-高新:Z-中天鸿锂'!M64)</f>
        <v>0</v>
      </c>
      <c r="N64" s="21">
        <f>SUM('Z-高新:Z-中天鸿锂'!N64)</f>
        <v>0</v>
      </c>
      <c r="O64" s="21">
        <f>SUM('Z-高新:Z-中天鸿锂'!O64)</f>
        <v>0</v>
      </c>
      <c r="P64" s="47">
        <f t="shared" si="0"/>
        <v>995379.34</v>
      </c>
      <c r="T64" s="48"/>
    </row>
    <row r="65" s="5" customFormat="1" ht="17.25" customHeight="1" spans="1:20">
      <c r="A65" s="42"/>
      <c r="B65" s="43" t="s">
        <v>141</v>
      </c>
      <c r="C65" s="33" t="s">
        <v>141</v>
      </c>
      <c r="D65" s="21">
        <f>SUM('Z-高新:Z-中天鸿锂'!D65)</f>
        <v>5220664.78</v>
      </c>
      <c r="E65" s="21">
        <f>SUM('Z-高新:Z-中天鸿锂'!E65)</f>
        <v>3405559.25</v>
      </c>
      <c r="F65" s="21">
        <f>SUM('Z-高新:Z-中天鸿锂'!F65)</f>
        <v>5283482.15</v>
      </c>
      <c r="G65" s="21">
        <f>SUM('Z-高新:Z-中天鸿锂'!G65)</f>
        <v>5878598.53</v>
      </c>
      <c r="H65" s="21">
        <f>SUM('Z-高新:Z-中天鸿锂'!H65)</f>
        <v>0</v>
      </c>
      <c r="I65" s="21">
        <f>SUM('Z-高新:Z-中天鸿锂'!I65)</f>
        <v>0</v>
      </c>
      <c r="J65" s="21">
        <f>SUM('Z-高新:Z-中天鸿锂'!J65)</f>
        <v>0</v>
      </c>
      <c r="K65" s="21">
        <f>SUM('Z-高新:Z-中天鸿锂'!K65)</f>
        <v>0</v>
      </c>
      <c r="L65" s="21">
        <f>SUM('Z-高新:Z-中天鸿锂'!L65)</f>
        <v>0</v>
      </c>
      <c r="M65" s="21">
        <f>SUM('Z-高新:Z-中天鸿锂'!M65)</f>
        <v>0</v>
      </c>
      <c r="N65" s="21">
        <f>SUM('Z-高新:Z-中天鸿锂'!N65)</f>
        <v>0</v>
      </c>
      <c r="O65" s="21">
        <f>SUM('Z-高新:Z-中天鸿锂'!O65)</f>
        <v>0</v>
      </c>
      <c r="P65" s="47">
        <f t="shared" si="0"/>
        <v>19788304.71</v>
      </c>
      <c r="T65" s="48"/>
    </row>
    <row r="66" s="5" customFormat="1" ht="17.25" customHeight="1" spans="1:20">
      <c r="A66" s="42"/>
      <c r="B66" s="43" t="s">
        <v>142</v>
      </c>
      <c r="C66" s="33" t="s">
        <v>142</v>
      </c>
      <c r="D66" s="21">
        <f>SUM('Z-高新:Z-中天鸿锂'!D66)</f>
        <v>2451590.81</v>
      </c>
      <c r="E66" s="21">
        <f>SUM('Z-高新:Z-中天鸿锂'!E66)</f>
        <v>1937776.27</v>
      </c>
      <c r="F66" s="21">
        <f>SUM('Z-高新:Z-中天鸿锂'!F66)</f>
        <v>2334852.39</v>
      </c>
      <c r="G66" s="21">
        <f>SUM('Z-高新:Z-中天鸿锂'!G66)</f>
        <v>1204125.18</v>
      </c>
      <c r="H66" s="21">
        <f>SUM('Z-高新:Z-中天鸿锂'!H66)</f>
        <v>0</v>
      </c>
      <c r="I66" s="21">
        <f>SUM('Z-高新:Z-中天鸿锂'!I66)</f>
        <v>0</v>
      </c>
      <c r="J66" s="21">
        <f>SUM('Z-高新:Z-中天鸿锂'!J66)</f>
        <v>0</v>
      </c>
      <c r="K66" s="21">
        <f>SUM('Z-高新:Z-中天鸿锂'!K66)</f>
        <v>0</v>
      </c>
      <c r="L66" s="21">
        <f>SUM('Z-高新:Z-中天鸿锂'!L66)</f>
        <v>0</v>
      </c>
      <c r="M66" s="21">
        <f>SUM('Z-高新:Z-中天鸿锂'!M66)</f>
        <v>0</v>
      </c>
      <c r="N66" s="21">
        <f>SUM('Z-高新:Z-中天鸿锂'!N66)</f>
        <v>0</v>
      </c>
      <c r="O66" s="21">
        <f>SUM('Z-高新:Z-中天鸿锂'!O66)</f>
        <v>0</v>
      </c>
      <c r="P66" s="47">
        <f t="shared" si="0"/>
        <v>7928344.65</v>
      </c>
      <c r="T66" s="48"/>
    </row>
    <row r="67" s="5" customFormat="1" ht="17.25" customHeight="1" spans="1:20">
      <c r="A67" s="42"/>
      <c r="B67" s="43" t="s">
        <v>143</v>
      </c>
      <c r="C67" s="33" t="s">
        <v>143</v>
      </c>
      <c r="D67" s="21">
        <f>SUM('Z-高新:Z-中天鸿锂'!D67)</f>
        <v>703743.07</v>
      </c>
      <c r="E67" s="21">
        <f>SUM('Z-高新:Z-中天鸿锂'!E67)</f>
        <v>205362.09</v>
      </c>
      <c r="F67" s="21">
        <f>SUM('Z-高新:Z-中天鸿锂'!F67)</f>
        <v>801421.68</v>
      </c>
      <c r="G67" s="21">
        <f>SUM('Z-高新:Z-中天鸿锂'!G67)</f>
        <v>763807.42</v>
      </c>
      <c r="H67" s="21">
        <f>SUM('Z-高新:Z-中天鸿锂'!H67)</f>
        <v>0</v>
      </c>
      <c r="I67" s="21">
        <f>SUM('Z-高新:Z-中天鸿锂'!I67)</f>
        <v>0</v>
      </c>
      <c r="J67" s="21">
        <f>SUM('Z-高新:Z-中天鸿锂'!J67)</f>
        <v>0</v>
      </c>
      <c r="K67" s="21">
        <f>SUM('Z-高新:Z-中天鸿锂'!K67)</f>
        <v>0</v>
      </c>
      <c r="L67" s="21">
        <f>SUM('Z-高新:Z-中天鸿锂'!L67)</f>
        <v>0</v>
      </c>
      <c r="M67" s="21">
        <f>SUM('Z-高新:Z-中天鸿锂'!M67)</f>
        <v>0</v>
      </c>
      <c r="N67" s="21">
        <f>SUM('Z-高新:Z-中天鸿锂'!N67)</f>
        <v>0</v>
      </c>
      <c r="O67" s="21">
        <f>SUM('Z-高新:Z-中天鸿锂'!O67)</f>
        <v>0</v>
      </c>
      <c r="P67" s="47">
        <f t="shared" si="0"/>
        <v>2474334.26</v>
      </c>
      <c r="T67" s="48"/>
    </row>
    <row r="68" s="5" customFormat="1" ht="17.25" customHeight="1" spans="1:20">
      <c r="A68" s="42"/>
      <c r="B68" s="37" t="s">
        <v>144</v>
      </c>
      <c r="C68" s="33" t="s">
        <v>145</v>
      </c>
      <c r="D68" s="21">
        <f>SUM('Z-高新:Z-中天鸿锂'!D68)</f>
        <v>0</v>
      </c>
      <c r="E68" s="21">
        <f>SUM('Z-高新:Z-中天鸿锂'!E68)</f>
        <v>0</v>
      </c>
      <c r="F68" s="21">
        <f>SUM('Z-高新:Z-中天鸿锂'!F68)</f>
        <v>0</v>
      </c>
      <c r="G68" s="21">
        <f>SUM('Z-高新:Z-中天鸿锂'!G68)</f>
        <v>0</v>
      </c>
      <c r="H68" s="21">
        <f>SUM('Z-高新:Z-中天鸿锂'!H68)</f>
        <v>0</v>
      </c>
      <c r="I68" s="21">
        <f>SUM('Z-高新:Z-中天鸿锂'!I68)</f>
        <v>0</v>
      </c>
      <c r="J68" s="21">
        <f>SUM('Z-高新:Z-中天鸿锂'!J68)</f>
        <v>0</v>
      </c>
      <c r="K68" s="21">
        <f>SUM('Z-高新:Z-中天鸿锂'!K68)</f>
        <v>0</v>
      </c>
      <c r="L68" s="21">
        <f>SUM('Z-高新:Z-中天鸿锂'!L68)</f>
        <v>0</v>
      </c>
      <c r="M68" s="21">
        <f>SUM('Z-高新:Z-中天鸿锂'!M68)</f>
        <v>0</v>
      </c>
      <c r="N68" s="21">
        <f>SUM('Z-高新:Z-中天鸿锂'!N68)</f>
        <v>0</v>
      </c>
      <c r="O68" s="21">
        <f>SUM('Z-高新:Z-中天鸿锂'!O68)</f>
        <v>0</v>
      </c>
      <c r="P68" s="47">
        <f t="shared" si="0"/>
        <v>0</v>
      </c>
      <c r="T68" s="48"/>
    </row>
    <row r="69" s="5" customFormat="1" ht="17.25" customHeight="1" spans="1:20">
      <c r="A69" s="42"/>
      <c r="B69" s="39"/>
      <c r="C69" s="33" t="s">
        <v>146</v>
      </c>
      <c r="D69" s="21">
        <f>SUM('Z-高新:Z-中天鸿锂'!D69)</f>
        <v>0</v>
      </c>
      <c r="E69" s="21">
        <f>SUM('Z-高新:Z-中天鸿锂'!E69)</f>
        <v>3175</v>
      </c>
      <c r="F69" s="21">
        <f>SUM('Z-高新:Z-中天鸿锂'!F69)</f>
        <v>1200</v>
      </c>
      <c r="G69" s="21">
        <f>SUM('Z-高新:Z-中天鸿锂'!G69)</f>
        <v>0</v>
      </c>
      <c r="H69" s="21">
        <f>SUM('Z-高新:Z-中天鸿锂'!H69)</f>
        <v>0</v>
      </c>
      <c r="I69" s="21">
        <f>SUM('Z-高新:Z-中天鸿锂'!I69)</f>
        <v>0</v>
      </c>
      <c r="J69" s="21">
        <f>SUM('Z-高新:Z-中天鸿锂'!J69)</f>
        <v>0</v>
      </c>
      <c r="K69" s="21">
        <f>SUM('Z-高新:Z-中天鸿锂'!K69)</f>
        <v>0</v>
      </c>
      <c r="L69" s="21">
        <f>SUM('Z-高新:Z-中天鸿锂'!L69)</f>
        <v>0</v>
      </c>
      <c r="M69" s="21">
        <f>SUM('Z-高新:Z-中天鸿锂'!M69)</f>
        <v>0</v>
      </c>
      <c r="N69" s="21">
        <f>SUM('Z-高新:Z-中天鸿锂'!N69)</f>
        <v>0</v>
      </c>
      <c r="O69" s="21">
        <f>SUM('Z-高新:Z-中天鸿锂'!O69)</f>
        <v>0</v>
      </c>
      <c r="P69" s="47">
        <f t="shared" si="0"/>
        <v>4375</v>
      </c>
      <c r="T69" s="48"/>
    </row>
    <row r="70" s="5" customFormat="1" ht="17.25" customHeight="1" spans="1:20">
      <c r="A70" s="42"/>
      <c r="B70" s="37" t="s">
        <v>147</v>
      </c>
      <c r="C70" s="32" t="s">
        <v>147</v>
      </c>
      <c r="D70" s="21">
        <f>SUM('Z-高新:Z-中天鸿锂'!D70)</f>
        <v>914</v>
      </c>
      <c r="E70" s="21">
        <f>SUM('Z-高新:Z-中天鸿锂'!E70)</f>
        <v>383.01</v>
      </c>
      <c r="F70" s="21">
        <f>SUM('Z-高新:Z-中天鸿锂'!F70)</f>
        <v>2392.14</v>
      </c>
      <c r="G70" s="21">
        <f>SUM('Z-高新:Z-中天鸿锂'!G70)</f>
        <v>7054.24</v>
      </c>
      <c r="H70" s="21">
        <f>SUM('Z-高新:Z-中天鸿锂'!H70)</f>
        <v>0</v>
      </c>
      <c r="I70" s="21">
        <f>SUM('Z-高新:Z-中天鸿锂'!I70)</f>
        <v>0</v>
      </c>
      <c r="J70" s="21">
        <f>SUM('Z-高新:Z-中天鸿锂'!J70)</f>
        <v>0</v>
      </c>
      <c r="K70" s="21">
        <f>SUM('Z-高新:Z-中天鸿锂'!K70)</f>
        <v>0</v>
      </c>
      <c r="L70" s="21">
        <f>SUM('Z-高新:Z-中天鸿锂'!L70)</f>
        <v>0</v>
      </c>
      <c r="M70" s="21">
        <f>SUM('Z-高新:Z-中天鸿锂'!M70)</f>
        <v>0</v>
      </c>
      <c r="N70" s="21">
        <f>SUM('Z-高新:Z-中天鸿锂'!N70)</f>
        <v>0</v>
      </c>
      <c r="O70" s="21">
        <f>SUM('Z-高新:Z-中天鸿锂'!O70)</f>
        <v>0</v>
      </c>
      <c r="P70" s="47">
        <f t="shared" si="0"/>
        <v>10743.39</v>
      </c>
      <c r="T70" s="48"/>
    </row>
    <row r="71" s="5" customFormat="1" ht="17.25" customHeight="1" spans="1:20">
      <c r="A71" s="42"/>
      <c r="B71" s="40" t="s">
        <v>148</v>
      </c>
      <c r="C71" s="33" t="s">
        <v>148</v>
      </c>
      <c r="D71" s="21">
        <f>SUM('Z-高新:Z-中天鸿锂'!D71)</f>
        <v>0</v>
      </c>
      <c r="E71" s="21">
        <f>SUM('Z-高新:Z-中天鸿锂'!E71)</f>
        <v>0</v>
      </c>
      <c r="F71" s="21">
        <f>SUM('Z-高新:Z-中天鸿锂'!F71)</f>
        <v>0</v>
      </c>
      <c r="G71" s="21">
        <f>SUM('Z-高新:Z-中天鸿锂'!G71)</f>
        <v>0</v>
      </c>
      <c r="H71" s="21">
        <f>SUM('Z-高新:Z-中天鸿锂'!H71)</f>
        <v>0</v>
      </c>
      <c r="I71" s="21">
        <f>SUM('Z-高新:Z-中天鸿锂'!I71)</f>
        <v>0</v>
      </c>
      <c r="J71" s="21">
        <f>SUM('Z-高新:Z-中天鸿锂'!J71)</f>
        <v>0</v>
      </c>
      <c r="K71" s="21">
        <f>SUM('Z-高新:Z-中天鸿锂'!K71)</f>
        <v>0</v>
      </c>
      <c r="L71" s="21">
        <f>SUM('Z-高新:Z-中天鸿锂'!L71)</f>
        <v>0</v>
      </c>
      <c r="M71" s="21">
        <f>SUM('Z-高新:Z-中天鸿锂'!M71)</f>
        <v>0</v>
      </c>
      <c r="N71" s="21">
        <f>SUM('Z-高新:Z-中天鸿锂'!N71)</f>
        <v>0</v>
      </c>
      <c r="O71" s="21">
        <f>SUM('Z-高新:Z-中天鸿锂'!O71)</f>
        <v>0</v>
      </c>
      <c r="P71" s="47">
        <f t="shared" ref="P71:P98" si="1">SUM(D71:O71)</f>
        <v>0</v>
      </c>
      <c r="T71" s="48"/>
    </row>
    <row r="72" s="5" customFormat="1" ht="17.25" customHeight="1" spans="1:20">
      <c r="A72" s="42"/>
      <c r="B72" s="40" t="s">
        <v>149</v>
      </c>
      <c r="C72" s="33" t="s">
        <v>149</v>
      </c>
      <c r="D72" s="21">
        <f>SUM('Z-高新:Z-中天鸿锂'!D72)</f>
        <v>0</v>
      </c>
      <c r="E72" s="21">
        <f>SUM('Z-高新:Z-中天鸿锂'!E72)</f>
        <v>0</v>
      </c>
      <c r="F72" s="21">
        <f>SUM('Z-高新:Z-中天鸿锂'!F72)</f>
        <v>0</v>
      </c>
      <c r="G72" s="21">
        <f>SUM('Z-高新:Z-中天鸿锂'!G72)</f>
        <v>0</v>
      </c>
      <c r="H72" s="21">
        <f>SUM('Z-高新:Z-中天鸿锂'!H72)</f>
        <v>0</v>
      </c>
      <c r="I72" s="21">
        <f>SUM('Z-高新:Z-中天鸿锂'!I72)</f>
        <v>0</v>
      </c>
      <c r="J72" s="21">
        <f>SUM('Z-高新:Z-中天鸿锂'!J72)</f>
        <v>0</v>
      </c>
      <c r="K72" s="21">
        <f>SUM('Z-高新:Z-中天鸿锂'!K72)</f>
        <v>0</v>
      </c>
      <c r="L72" s="21">
        <f>SUM('Z-高新:Z-中天鸿锂'!L72)</f>
        <v>0</v>
      </c>
      <c r="M72" s="21">
        <f>SUM('Z-高新:Z-中天鸿锂'!M72)</f>
        <v>0</v>
      </c>
      <c r="N72" s="21">
        <f>SUM('Z-高新:Z-中天鸿锂'!N72)</f>
        <v>0</v>
      </c>
      <c r="O72" s="21">
        <f>SUM('Z-高新:Z-中天鸿锂'!O72)</f>
        <v>0</v>
      </c>
      <c r="P72" s="47">
        <f t="shared" si="1"/>
        <v>0</v>
      </c>
      <c r="T72" s="48"/>
    </row>
    <row r="73" s="5" customFormat="1" ht="17.25" customHeight="1" spans="1:20">
      <c r="A73" s="42"/>
      <c r="B73" s="37" t="s">
        <v>150</v>
      </c>
      <c r="C73" s="33" t="s">
        <v>151</v>
      </c>
      <c r="D73" s="21">
        <f>SUM('Z-高新:Z-中天鸿锂'!D73)</f>
        <v>0</v>
      </c>
      <c r="E73" s="21">
        <f>SUM('Z-高新:Z-中天鸿锂'!E73)</f>
        <v>0</v>
      </c>
      <c r="F73" s="21">
        <f>SUM('Z-高新:Z-中天鸿锂'!F73)</f>
        <v>0</v>
      </c>
      <c r="G73" s="21">
        <f>SUM('Z-高新:Z-中天鸿锂'!G73)</f>
        <v>0</v>
      </c>
      <c r="H73" s="21">
        <f>SUM('Z-高新:Z-中天鸿锂'!H73)</f>
        <v>0</v>
      </c>
      <c r="I73" s="21">
        <f>SUM('Z-高新:Z-中天鸿锂'!I73)</f>
        <v>0</v>
      </c>
      <c r="J73" s="21">
        <f>SUM('Z-高新:Z-中天鸿锂'!J73)</f>
        <v>0</v>
      </c>
      <c r="K73" s="21">
        <f>SUM('Z-高新:Z-中天鸿锂'!K73)</f>
        <v>0</v>
      </c>
      <c r="L73" s="21">
        <f>SUM('Z-高新:Z-中天鸿锂'!L73)</f>
        <v>0</v>
      </c>
      <c r="M73" s="21">
        <f>SUM('Z-高新:Z-中天鸿锂'!M73)</f>
        <v>0</v>
      </c>
      <c r="N73" s="21">
        <f>SUM('Z-高新:Z-中天鸿锂'!N73)</f>
        <v>0</v>
      </c>
      <c r="O73" s="21">
        <f>SUM('Z-高新:Z-中天鸿锂'!O73)</f>
        <v>0</v>
      </c>
      <c r="P73" s="47">
        <f t="shared" si="1"/>
        <v>0</v>
      </c>
      <c r="T73" s="48"/>
    </row>
    <row r="74" s="5" customFormat="1" ht="17.25" customHeight="1" spans="1:20">
      <c r="A74" s="42"/>
      <c r="B74" s="39"/>
      <c r="C74" s="49" t="s">
        <v>152</v>
      </c>
      <c r="D74" s="21">
        <f>SUM('Z-高新:Z-中天鸿锂'!D74)</f>
        <v>0</v>
      </c>
      <c r="E74" s="21">
        <f>SUM('Z-高新:Z-中天鸿锂'!E74)</f>
        <v>0</v>
      </c>
      <c r="F74" s="21">
        <f>SUM('Z-高新:Z-中天鸿锂'!F74)</f>
        <v>0</v>
      </c>
      <c r="G74" s="21">
        <f>SUM('Z-高新:Z-中天鸿锂'!G74)</f>
        <v>0</v>
      </c>
      <c r="H74" s="21">
        <f>SUM('Z-高新:Z-中天鸿锂'!H74)</f>
        <v>0</v>
      </c>
      <c r="I74" s="21">
        <f>SUM('Z-高新:Z-中天鸿锂'!I74)</f>
        <v>0</v>
      </c>
      <c r="J74" s="21">
        <f>SUM('Z-高新:Z-中天鸿锂'!J74)</f>
        <v>0</v>
      </c>
      <c r="K74" s="21">
        <f>SUM('Z-高新:Z-中天鸿锂'!K74)</f>
        <v>0</v>
      </c>
      <c r="L74" s="21">
        <f>SUM('Z-高新:Z-中天鸿锂'!L74)</f>
        <v>0</v>
      </c>
      <c r="M74" s="21">
        <f>SUM('Z-高新:Z-中天鸿锂'!M74)</f>
        <v>0</v>
      </c>
      <c r="N74" s="21">
        <f>SUM('Z-高新:Z-中天鸿锂'!N74)</f>
        <v>0</v>
      </c>
      <c r="O74" s="21">
        <f>SUM('Z-高新:Z-中天鸿锂'!O74)</f>
        <v>0</v>
      </c>
      <c r="P74" s="47">
        <f t="shared" si="1"/>
        <v>0</v>
      </c>
      <c r="T74" s="48"/>
    </row>
    <row r="75" s="5" customFormat="1" ht="17.25" customHeight="1" spans="1:20">
      <c r="A75" s="42"/>
      <c r="B75" s="40" t="s">
        <v>153</v>
      </c>
      <c r="C75" s="33" t="s">
        <v>153</v>
      </c>
      <c r="D75" s="21">
        <f>SUM('Z-高新:Z-中天鸿锂'!D75)</f>
        <v>600</v>
      </c>
      <c r="E75" s="21">
        <f>SUM('Z-高新:Z-中天鸿锂'!E75)</f>
        <v>0</v>
      </c>
      <c r="F75" s="21">
        <f>SUM('Z-高新:Z-中天鸿锂'!F75)</f>
        <v>0</v>
      </c>
      <c r="G75" s="21">
        <f>SUM('Z-高新:Z-中天鸿锂'!G75)</f>
        <v>665.09</v>
      </c>
      <c r="H75" s="21">
        <f>SUM('Z-高新:Z-中天鸿锂'!H75)</f>
        <v>0</v>
      </c>
      <c r="I75" s="21">
        <f>SUM('Z-高新:Z-中天鸿锂'!I75)</f>
        <v>0</v>
      </c>
      <c r="J75" s="21">
        <f>SUM('Z-高新:Z-中天鸿锂'!J75)</f>
        <v>0</v>
      </c>
      <c r="K75" s="21">
        <f>SUM('Z-高新:Z-中天鸿锂'!K75)</f>
        <v>0</v>
      </c>
      <c r="L75" s="21">
        <f>SUM('Z-高新:Z-中天鸿锂'!L75)</f>
        <v>0</v>
      </c>
      <c r="M75" s="21">
        <f>SUM('Z-高新:Z-中天鸿锂'!M75)</f>
        <v>0</v>
      </c>
      <c r="N75" s="21">
        <f>SUM('Z-高新:Z-中天鸿锂'!N75)</f>
        <v>0</v>
      </c>
      <c r="O75" s="21">
        <f>SUM('Z-高新:Z-中天鸿锂'!O75)</f>
        <v>0</v>
      </c>
      <c r="P75" s="47">
        <f t="shared" si="1"/>
        <v>1265.09</v>
      </c>
      <c r="T75" s="48"/>
    </row>
    <row r="76" s="5" customFormat="1" ht="17.25" customHeight="1" spans="1:20">
      <c r="A76" s="50" t="s">
        <v>154</v>
      </c>
      <c r="B76" s="19" t="s">
        <v>155</v>
      </c>
      <c r="C76" s="32" t="s">
        <v>155</v>
      </c>
      <c r="D76" s="21">
        <f>SUM('Z-高新:Z-中天鸿锂'!D76)</f>
        <v>0</v>
      </c>
      <c r="E76" s="21">
        <f>SUM('Z-高新:Z-中天鸿锂'!E76)</f>
        <v>0</v>
      </c>
      <c r="F76" s="21">
        <f>SUM('Z-高新:Z-中天鸿锂'!F76)</f>
        <v>0</v>
      </c>
      <c r="G76" s="21">
        <f>SUM('Z-高新:Z-中天鸿锂'!G76)</f>
        <v>0</v>
      </c>
      <c r="H76" s="21">
        <f>SUM('Z-高新:Z-中天鸿锂'!H76)</f>
        <v>0</v>
      </c>
      <c r="I76" s="21">
        <f>SUM('Z-高新:Z-中天鸿锂'!I76)</f>
        <v>0</v>
      </c>
      <c r="J76" s="21">
        <f>SUM('Z-高新:Z-中天鸿锂'!J76)</f>
        <v>0</v>
      </c>
      <c r="K76" s="21">
        <f>SUM('Z-高新:Z-中天鸿锂'!K76)</f>
        <v>0</v>
      </c>
      <c r="L76" s="21">
        <f>SUM('Z-高新:Z-中天鸿锂'!L76)</f>
        <v>0</v>
      </c>
      <c r="M76" s="21">
        <f>SUM('Z-高新:Z-中天鸿锂'!M76)</f>
        <v>0</v>
      </c>
      <c r="N76" s="21">
        <f>SUM('Z-高新:Z-中天鸿锂'!N76)</f>
        <v>0</v>
      </c>
      <c r="O76" s="21">
        <f>SUM('Z-高新:Z-中天鸿锂'!O76)</f>
        <v>0</v>
      </c>
      <c r="P76" s="47">
        <f t="shared" si="1"/>
        <v>0</v>
      </c>
      <c r="T76" s="48"/>
    </row>
    <row r="77" s="5" customFormat="1" ht="17.25" customHeight="1" spans="1:20">
      <c r="A77" s="50"/>
      <c r="B77" s="19" t="s">
        <v>156</v>
      </c>
      <c r="C77" s="33" t="s">
        <v>157</v>
      </c>
      <c r="D77" s="21">
        <f>SUM('Z-高新:Z-中天鸿锂'!D77)</f>
        <v>28301.89</v>
      </c>
      <c r="E77" s="21">
        <f>SUM('Z-高新:Z-中天鸿锂'!E77)</f>
        <v>0</v>
      </c>
      <c r="F77" s="21">
        <f>SUM('Z-高新:Z-中天鸿锂'!F77)</f>
        <v>0</v>
      </c>
      <c r="G77" s="21">
        <f>SUM('Z-高新:Z-中天鸿锂'!G77)</f>
        <v>0</v>
      </c>
      <c r="H77" s="21">
        <f>SUM('Z-高新:Z-中天鸿锂'!H77)</f>
        <v>0</v>
      </c>
      <c r="I77" s="21">
        <f>SUM('Z-高新:Z-中天鸿锂'!I77)</f>
        <v>0</v>
      </c>
      <c r="J77" s="21">
        <f>SUM('Z-高新:Z-中天鸿锂'!J77)</f>
        <v>0</v>
      </c>
      <c r="K77" s="21">
        <f>SUM('Z-高新:Z-中天鸿锂'!K77)</f>
        <v>0</v>
      </c>
      <c r="L77" s="21">
        <f>SUM('Z-高新:Z-中天鸿锂'!L77)</f>
        <v>0</v>
      </c>
      <c r="M77" s="21">
        <f>SUM('Z-高新:Z-中天鸿锂'!M77)</f>
        <v>0</v>
      </c>
      <c r="N77" s="21">
        <f>SUM('Z-高新:Z-中天鸿锂'!N77)</f>
        <v>0</v>
      </c>
      <c r="O77" s="21">
        <f>SUM('Z-高新:Z-中天鸿锂'!O77)</f>
        <v>0</v>
      </c>
      <c r="P77" s="47">
        <f t="shared" si="1"/>
        <v>28301.89</v>
      </c>
      <c r="T77" s="48"/>
    </row>
    <row r="78" s="5" customFormat="1" ht="17.25" customHeight="1" spans="1:20">
      <c r="A78" s="50"/>
      <c r="B78" s="23"/>
      <c r="C78" s="49" t="s">
        <v>158</v>
      </c>
      <c r="D78" s="21">
        <f>SUM('Z-高新:Z-中天鸿锂'!D78)</f>
        <v>0</v>
      </c>
      <c r="E78" s="21">
        <f>SUM('Z-高新:Z-中天鸿锂'!E78)</f>
        <v>0</v>
      </c>
      <c r="F78" s="21">
        <f>SUM('Z-高新:Z-中天鸿锂'!F78)</f>
        <v>0</v>
      </c>
      <c r="G78" s="21">
        <f>SUM('Z-高新:Z-中天鸿锂'!G78)</f>
        <v>0</v>
      </c>
      <c r="H78" s="21">
        <f>SUM('Z-高新:Z-中天鸿锂'!H78)</f>
        <v>0</v>
      </c>
      <c r="I78" s="21">
        <f>SUM('Z-高新:Z-中天鸿锂'!I78)</f>
        <v>0</v>
      </c>
      <c r="J78" s="21">
        <f>SUM('Z-高新:Z-中天鸿锂'!J78)</f>
        <v>0</v>
      </c>
      <c r="K78" s="21">
        <f>SUM('Z-高新:Z-中天鸿锂'!K78)</f>
        <v>0</v>
      </c>
      <c r="L78" s="21">
        <f>SUM('Z-高新:Z-中天鸿锂'!L78)</f>
        <v>0</v>
      </c>
      <c r="M78" s="21">
        <f>SUM('Z-高新:Z-中天鸿锂'!M78)</f>
        <v>0</v>
      </c>
      <c r="N78" s="21">
        <f>SUM('Z-高新:Z-中天鸿锂'!N78)</f>
        <v>0</v>
      </c>
      <c r="O78" s="21">
        <f>SUM('Z-高新:Z-中天鸿锂'!O78)</f>
        <v>0</v>
      </c>
      <c r="P78" s="47">
        <f t="shared" si="1"/>
        <v>0</v>
      </c>
      <c r="T78" s="48"/>
    </row>
    <row r="79" s="5" customFormat="1" ht="17.25" customHeight="1" spans="1:20">
      <c r="A79" s="50"/>
      <c r="B79" s="26" t="s">
        <v>159</v>
      </c>
      <c r="C79" s="33" t="s">
        <v>159</v>
      </c>
      <c r="D79" s="21">
        <f>SUM('Z-高新:Z-中天鸿锂'!D79)</f>
        <v>0</v>
      </c>
      <c r="E79" s="21">
        <f>SUM('Z-高新:Z-中天鸿锂'!E79)</f>
        <v>0</v>
      </c>
      <c r="F79" s="21">
        <f>SUM('Z-高新:Z-中天鸿锂'!F79)</f>
        <v>0</v>
      </c>
      <c r="G79" s="21">
        <f>SUM('Z-高新:Z-中天鸿锂'!G79)</f>
        <v>0</v>
      </c>
      <c r="H79" s="21">
        <f>SUM('Z-高新:Z-中天鸿锂'!H79)</f>
        <v>0</v>
      </c>
      <c r="I79" s="21">
        <f>SUM('Z-高新:Z-中天鸿锂'!I79)</f>
        <v>0</v>
      </c>
      <c r="J79" s="21">
        <f>SUM('Z-高新:Z-中天鸿锂'!J79)</f>
        <v>0</v>
      </c>
      <c r="K79" s="21">
        <f>SUM('Z-高新:Z-中天鸿锂'!K79)</f>
        <v>0</v>
      </c>
      <c r="L79" s="21">
        <f>SUM('Z-高新:Z-中天鸿锂'!L79)</f>
        <v>0</v>
      </c>
      <c r="M79" s="21">
        <f>SUM('Z-高新:Z-中天鸿锂'!M79)</f>
        <v>0</v>
      </c>
      <c r="N79" s="21">
        <f>SUM('Z-高新:Z-中天鸿锂'!N79)</f>
        <v>0</v>
      </c>
      <c r="O79" s="21">
        <f>SUM('Z-高新:Z-中天鸿锂'!O79)</f>
        <v>0</v>
      </c>
      <c r="P79" s="47">
        <f t="shared" si="1"/>
        <v>0</v>
      </c>
      <c r="T79" s="48"/>
    </row>
    <row r="80" s="5" customFormat="1" ht="17.25" customHeight="1" spans="1:20">
      <c r="A80" s="51" t="s">
        <v>160</v>
      </c>
      <c r="B80" s="26" t="s">
        <v>161</v>
      </c>
      <c r="C80" s="33" t="s">
        <v>161</v>
      </c>
      <c r="D80" s="21">
        <f>SUM('Z-高新:Z-中天鸿锂'!D80)</f>
        <v>65445.83</v>
      </c>
      <c r="E80" s="21">
        <f>SUM('Z-高新:Z-中天鸿锂'!E80)</f>
        <v>73516.8</v>
      </c>
      <c r="F80" s="21">
        <f>SUM('Z-高新:Z-中天鸿锂'!F80)</f>
        <v>235622.97</v>
      </c>
      <c r="G80" s="21">
        <f>SUM('Z-高新:Z-中天鸿锂'!G80)</f>
        <v>206244.18</v>
      </c>
      <c r="H80" s="21">
        <f>SUM('Z-高新:Z-中天鸿锂'!H80)</f>
        <v>0</v>
      </c>
      <c r="I80" s="21">
        <f>SUM('Z-高新:Z-中天鸿锂'!I80)</f>
        <v>0</v>
      </c>
      <c r="J80" s="21">
        <f>SUM('Z-高新:Z-中天鸿锂'!J80)</f>
        <v>0</v>
      </c>
      <c r="K80" s="21">
        <f>SUM('Z-高新:Z-中天鸿锂'!K80)</f>
        <v>0</v>
      </c>
      <c r="L80" s="21">
        <f>SUM('Z-高新:Z-中天鸿锂'!L80)</f>
        <v>0</v>
      </c>
      <c r="M80" s="21">
        <f>SUM('Z-高新:Z-中天鸿锂'!M80)</f>
        <v>0</v>
      </c>
      <c r="N80" s="21">
        <f>SUM('Z-高新:Z-中天鸿锂'!N80)</f>
        <v>0</v>
      </c>
      <c r="O80" s="21">
        <f>SUM('Z-高新:Z-中天鸿锂'!O80)</f>
        <v>0</v>
      </c>
      <c r="P80" s="47">
        <f t="shared" si="1"/>
        <v>580829.78</v>
      </c>
      <c r="T80" s="48"/>
    </row>
    <row r="81" s="5" customFormat="1" ht="17.25" customHeight="1" spans="1:20">
      <c r="A81" s="51"/>
      <c r="B81" s="26" t="s">
        <v>162</v>
      </c>
      <c r="C81" s="25" t="s">
        <v>162</v>
      </c>
      <c r="D81" s="21">
        <f>SUM('Z-高新:Z-中天鸿锂'!D81)</f>
        <v>8268.33</v>
      </c>
      <c r="E81" s="21">
        <f>SUM('Z-高新:Z-中天鸿锂'!E81)</f>
        <v>5634.17</v>
      </c>
      <c r="F81" s="21">
        <f>SUM('Z-高新:Z-中天鸿锂'!F81)</f>
        <v>21744.78</v>
      </c>
      <c r="G81" s="21">
        <f>SUM('Z-高新:Z-中天鸿锂'!G81)</f>
        <v>72963.21</v>
      </c>
      <c r="H81" s="21">
        <f>SUM('Z-高新:Z-中天鸿锂'!H81)</f>
        <v>0</v>
      </c>
      <c r="I81" s="21">
        <f>SUM('Z-高新:Z-中天鸿锂'!I81)</f>
        <v>0</v>
      </c>
      <c r="J81" s="21">
        <f>SUM('Z-高新:Z-中天鸿锂'!J81)</f>
        <v>0</v>
      </c>
      <c r="K81" s="21">
        <f>SUM('Z-高新:Z-中天鸿锂'!K81)</f>
        <v>0</v>
      </c>
      <c r="L81" s="21">
        <f>SUM('Z-高新:Z-中天鸿锂'!L81)</f>
        <v>0</v>
      </c>
      <c r="M81" s="21">
        <f>SUM('Z-高新:Z-中天鸿锂'!M81)</f>
        <v>0</v>
      </c>
      <c r="N81" s="21">
        <f>SUM('Z-高新:Z-中天鸿锂'!N81)</f>
        <v>0</v>
      </c>
      <c r="O81" s="21">
        <f>SUM('Z-高新:Z-中天鸿锂'!O81)</f>
        <v>0</v>
      </c>
      <c r="P81" s="47">
        <f t="shared" si="1"/>
        <v>108610.49</v>
      </c>
      <c r="T81" s="48"/>
    </row>
    <row r="82" s="5" customFormat="1" ht="17.25" customHeight="1" spans="1:20">
      <c r="A82" s="51"/>
      <c r="B82" s="19" t="s">
        <v>163</v>
      </c>
      <c r="C82" s="25" t="s">
        <v>164</v>
      </c>
      <c r="D82" s="21">
        <f>SUM('Z-高新:Z-中天鸿锂'!D82)</f>
        <v>0</v>
      </c>
      <c r="E82" s="21">
        <f>SUM('Z-高新:Z-中天鸿锂'!E82)</f>
        <v>0</v>
      </c>
      <c r="F82" s="21">
        <f>SUM('Z-高新:Z-中天鸿锂'!F82)</f>
        <v>11612.82</v>
      </c>
      <c r="G82" s="21">
        <f>SUM('Z-高新:Z-中天鸿锂'!G82)</f>
        <v>0</v>
      </c>
      <c r="H82" s="21">
        <f>SUM('Z-高新:Z-中天鸿锂'!H82)</f>
        <v>0</v>
      </c>
      <c r="I82" s="21">
        <f>SUM('Z-高新:Z-中天鸿锂'!I82)</f>
        <v>0</v>
      </c>
      <c r="J82" s="21">
        <f>SUM('Z-高新:Z-中天鸿锂'!J82)</f>
        <v>0</v>
      </c>
      <c r="K82" s="21">
        <f>SUM('Z-高新:Z-中天鸿锂'!K82)</f>
        <v>0</v>
      </c>
      <c r="L82" s="21">
        <f>SUM('Z-高新:Z-中天鸿锂'!L82)</f>
        <v>0</v>
      </c>
      <c r="M82" s="21">
        <f>SUM('Z-高新:Z-中天鸿锂'!M82)</f>
        <v>0</v>
      </c>
      <c r="N82" s="21">
        <f>SUM('Z-高新:Z-中天鸿锂'!N82)</f>
        <v>0</v>
      </c>
      <c r="O82" s="21">
        <f>SUM('Z-高新:Z-中天鸿锂'!O82)</f>
        <v>0</v>
      </c>
      <c r="P82" s="47">
        <f t="shared" si="1"/>
        <v>11612.82</v>
      </c>
      <c r="T82" s="48"/>
    </row>
    <row r="83" s="5" customFormat="1" ht="17.25" customHeight="1" spans="1:20">
      <c r="A83" s="51"/>
      <c r="B83" s="24"/>
      <c r="C83" s="25" t="s">
        <v>165</v>
      </c>
      <c r="D83" s="21">
        <f>SUM('Z-高新:Z-中天鸿锂'!D83)</f>
        <v>131265.6</v>
      </c>
      <c r="E83" s="21">
        <f>SUM('Z-高新:Z-中天鸿锂'!E83)</f>
        <v>115078.97</v>
      </c>
      <c r="F83" s="21">
        <f>SUM('Z-高新:Z-中天鸿锂'!F83)</f>
        <v>119965.44</v>
      </c>
      <c r="G83" s="21">
        <f>SUM('Z-高新:Z-中天鸿锂'!G83)</f>
        <v>131738.87</v>
      </c>
      <c r="H83" s="21">
        <f>SUM('Z-高新:Z-中天鸿锂'!H83)</f>
        <v>0</v>
      </c>
      <c r="I83" s="21">
        <f>SUM('Z-高新:Z-中天鸿锂'!I83)</f>
        <v>0</v>
      </c>
      <c r="J83" s="21">
        <f>SUM('Z-高新:Z-中天鸿锂'!J83)</f>
        <v>0</v>
      </c>
      <c r="K83" s="21">
        <f>SUM('Z-高新:Z-中天鸿锂'!K83)</f>
        <v>0</v>
      </c>
      <c r="L83" s="21">
        <f>SUM('Z-高新:Z-中天鸿锂'!L83)</f>
        <v>0</v>
      </c>
      <c r="M83" s="21">
        <f>SUM('Z-高新:Z-中天鸿锂'!M83)</f>
        <v>0</v>
      </c>
      <c r="N83" s="21">
        <f>SUM('Z-高新:Z-中天鸿锂'!N83)</f>
        <v>0</v>
      </c>
      <c r="O83" s="21">
        <f>SUM('Z-高新:Z-中天鸿锂'!O83)</f>
        <v>0</v>
      </c>
      <c r="P83" s="47">
        <f t="shared" si="1"/>
        <v>498048.88</v>
      </c>
      <c r="T83" s="48"/>
    </row>
    <row r="84" s="5" customFormat="1" ht="17.25" customHeight="1" spans="1:20">
      <c r="A84" s="51"/>
      <c r="B84" s="23"/>
      <c r="C84" s="25" t="s">
        <v>166</v>
      </c>
      <c r="D84" s="21">
        <f>SUM('Z-高新:Z-中天鸿锂'!D84)</f>
        <v>0</v>
      </c>
      <c r="E84" s="21">
        <f>SUM('Z-高新:Z-中天鸿锂'!E84)</f>
        <v>0</v>
      </c>
      <c r="F84" s="21">
        <f>SUM('Z-高新:Z-中天鸿锂'!F84)</f>
        <v>0</v>
      </c>
      <c r="G84" s="21">
        <f>SUM('Z-高新:Z-中天鸿锂'!G84)</f>
        <v>0</v>
      </c>
      <c r="H84" s="21">
        <f>SUM('Z-高新:Z-中天鸿锂'!H84)</f>
        <v>0</v>
      </c>
      <c r="I84" s="21">
        <f>SUM('Z-高新:Z-中天鸿锂'!I84)</f>
        <v>0</v>
      </c>
      <c r="J84" s="21">
        <f>SUM('Z-高新:Z-中天鸿锂'!J84)</f>
        <v>0</v>
      </c>
      <c r="K84" s="21">
        <f>SUM('Z-高新:Z-中天鸿锂'!K84)</f>
        <v>0</v>
      </c>
      <c r="L84" s="21">
        <f>SUM('Z-高新:Z-中天鸿锂'!L84)</f>
        <v>0</v>
      </c>
      <c r="M84" s="21">
        <f>SUM('Z-高新:Z-中天鸿锂'!M84)</f>
        <v>0</v>
      </c>
      <c r="N84" s="21">
        <f>SUM('Z-高新:Z-中天鸿锂'!N84)</f>
        <v>0</v>
      </c>
      <c r="O84" s="21">
        <f>SUM('Z-高新:Z-中天鸿锂'!O84)</f>
        <v>0</v>
      </c>
      <c r="P84" s="47">
        <f t="shared" si="1"/>
        <v>0</v>
      </c>
      <c r="T84" s="48"/>
    </row>
    <row r="85" s="5" customFormat="1" ht="17.25" customHeight="1" spans="1:20">
      <c r="A85" s="51"/>
      <c r="B85" s="26" t="s">
        <v>167</v>
      </c>
      <c r="C85" s="33" t="s">
        <v>167</v>
      </c>
      <c r="D85" s="21">
        <f>SUM('Z-高新:Z-中天鸿锂'!D85)</f>
        <v>0</v>
      </c>
      <c r="E85" s="21">
        <f>SUM('Z-高新:Z-中天鸿锂'!E85)</f>
        <v>0</v>
      </c>
      <c r="F85" s="21">
        <f>SUM('Z-高新:Z-中天鸿锂'!F85)</f>
        <v>0</v>
      </c>
      <c r="G85" s="21">
        <f>SUM('Z-高新:Z-中天鸿锂'!G85)</f>
        <v>0</v>
      </c>
      <c r="H85" s="21">
        <f>SUM('Z-高新:Z-中天鸿锂'!H85)</f>
        <v>0</v>
      </c>
      <c r="I85" s="21">
        <f>SUM('Z-高新:Z-中天鸿锂'!I85)</f>
        <v>0</v>
      </c>
      <c r="J85" s="21">
        <f>SUM('Z-高新:Z-中天鸿锂'!J85)</f>
        <v>0</v>
      </c>
      <c r="K85" s="21">
        <f>SUM('Z-高新:Z-中天鸿锂'!K85)</f>
        <v>0</v>
      </c>
      <c r="L85" s="21">
        <f>SUM('Z-高新:Z-中天鸿锂'!L85)</f>
        <v>0</v>
      </c>
      <c r="M85" s="21">
        <f>SUM('Z-高新:Z-中天鸿锂'!M85)</f>
        <v>0</v>
      </c>
      <c r="N85" s="21">
        <f>SUM('Z-高新:Z-中天鸿锂'!N85)</f>
        <v>0</v>
      </c>
      <c r="O85" s="21">
        <f>SUM('Z-高新:Z-中天鸿锂'!O85)</f>
        <v>0</v>
      </c>
      <c r="P85" s="47">
        <f t="shared" si="1"/>
        <v>0</v>
      </c>
      <c r="T85" s="48"/>
    </row>
    <row r="86" s="5" customFormat="1" ht="17.25" customHeight="1" spans="1:20">
      <c r="A86" s="52" t="s">
        <v>168</v>
      </c>
      <c r="B86" s="26" t="s">
        <v>169</v>
      </c>
      <c r="C86" s="33" t="s">
        <v>169</v>
      </c>
      <c r="D86" s="21">
        <f>SUM('Z-高新:Z-中天鸿锂'!D86)</f>
        <v>0</v>
      </c>
      <c r="E86" s="21">
        <f>SUM('Z-高新:Z-中天鸿锂'!E86)</f>
        <v>0</v>
      </c>
      <c r="F86" s="21">
        <f>SUM('Z-高新:Z-中天鸿锂'!F86)</f>
        <v>0</v>
      </c>
      <c r="G86" s="21">
        <f>SUM('Z-高新:Z-中天鸿锂'!G86)</f>
        <v>0</v>
      </c>
      <c r="H86" s="21">
        <f>SUM('Z-高新:Z-中天鸿锂'!H86)</f>
        <v>0</v>
      </c>
      <c r="I86" s="21">
        <f>SUM('Z-高新:Z-中天鸿锂'!I86)</f>
        <v>0</v>
      </c>
      <c r="J86" s="21">
        <f>SUM('Z-高新:Z-中天鸿锂'!J86)</f>
        <v>0</v>
      </c>
      <c r="K86" s="21">
        <f>SUM('Z-高新:Z-中天鸿锂'!K86)</f>
        <v>0</v>
      </c>
      <c r="L86" s="21">
        <f>SUM('Z-高新:Z-中天鸿锂'!L86)</f>
        <v>0</v>
      </c>
      <c r="M86" s="21">
        <f>SUM('Z-高新:Z-中天鸿锂'!M86)</f>
        <v>0</v>
      </c>
      <c r="N86" s="21">
        <f>SUM('Z-高新:Z-中天鸿锂'!N86)</f>
        <v>0</v>
      </c>
      <c r="O86" s="21">
        <f>SUM('Z-高新:Z-中天鸿锂'!O86)</f>
        <v>0</v>
      </c>
      <c r="P86" s="47">
        <f t="shared" si="1"/>
        <v>0</v>
      </c>
      <c r="T86" s="48"/>
    </row>
    <row r="87" s="5" customFormat="1" ht="17.25" customHeight="1" spans="1:20">
      <c r="A87" s="52"/>
      <c r="B87" s="26" t="s">
        <v>170</v>
      </c>
      <c r="C87" s="33" t="s">
        <v>170</v>
      </c>
      <c r="D87" s="21">
        <f>SUM('Z-高新:Z-中天鸿锂'!D87)</f>
        <v>0</v>
      </c>
      <c r="E87" s="21">
        <f>SUM('Z-高新:Z-中天鸿锂'!E87)</f>
        <v>0</v>
      </c>
      <c r="F87" s="21">
        <f>SUM('Z-高新:Z-中天鸿锂'!F87)</f>
        <v>0</v>
      </c>
      <c r="G87" s="21">
        <f>SUM('Z-高新:Z-中天鸿锂'!G87)</f>
        <v>0</v>
      </c>
      <c r="H87" s="21">
        <f>SUM('Z-高新:Z-中天鸿锂'!H87)</f>
        <v>0</v>
      </c>
      <c r="I87" s="21">
        <f>SUM('Z-高新:Z-中天鸿锂'!I87)</f>
        <v>0</v>
      </c>
      <c r="J87" s="21">
        <f>SUM('Z-高新:Z-中天鸿锂'!J87)</f>
        <v>0</v>
      </c>
      <c r="K87" s="21">
        <f>SUM('Z-高新:Z-中天鸿锂'!K87)</f>
        <v>0</v>
      </c>
      <c r="L87" s="21">
        <f>SUM('Z-高新:Z-中天鸿锂'!L87)</f>
        <v>0</v>
      </c>
      <c r="M87" s="21">
        <f>SUM('Z-高新:Z-中天鸿锂'!M87)</f>
        <v>0</v>
      </c>
      <c r="N87" s="21">
        <f>SUM('Z-高新:Z-中天鸿锂'!N87)</f>
        <v>0</v>
      </c>
      <c r="O87" s="21">
        <f>SUM('Z-高新:Z-中天鸿锂'!O87)</f>
        <v>0</v>
      </c>
      <c r="P87" s="47">
        <f t="shared" si="1"/>
        <v>0</v>
      </c>
      <c r="T87" s="48"/>
    </row>
    <row r="88" s="5" customFormat="1" ht="17.25" customHeight="1" spans="1:20">
      <c r="A88" s="52"/>
      <c r="B88" s="26" t="s">
        <v>171</v>
      </c>
      <c r="C88" s="33" t="s">
        <v>171</v>
      </c>
      <c r="D88" s="21">
        <f>SUM('Z-高新:Z-中天鸿锂'!D88)</f>
        <v>0</v>
      </c>
      <c r="E88" s="21">
        <f>SUM('Z-高新:Z-中天鸿锂'!E88)</f>
        <v>0</v>
      </c>
      <c r="F88" s="21">
        <f>SUM('Z-高新:Z-中天鸿锂'!F88)</f>
        <v>0</v>
      </c>
      <c r="G88" s="21">
        <f>SUM('Z-高新:Z-中天鸿锂'!G88)</f>
        <v>0</v>
      </c>
      <c r="H88" s="21">
        <f>SUM('Z-高新:Z-中天鸿锂'!H88)</f>
        <v>0</v>
      </c>
      <c r="I88" s="21">
        <f>SUM('Z-高新:Z-中天鸿锂'!I88)</f>
        <v>0</v>
      </c>
      <c r="J88" s="21">
        <f>SUM('Z-高新:Z-中天鸿锂'!J88)</f>
        <v>0</v>
      </c>
      <c r="K88" s="21">
        <f>SUM('Z-高新:Z-中天鸿锂'!K88)</f>
        <v>0</v>
      </c>
      <c r="L88" s="21">
        <f>SUM('Z-高新:Z-中天鸿锂'!L88)</f>
        <v>0</v>
      </c>
      <c r="M88" s="21">
        <f>SUM('Z-高新:Z-中天鸿锂'!M88)</f>
        <v>0</v>
      </c>
      <c r="N88" s="21">
        <f>SUM('Z-高新:Z-中天鸿锂'!N88)</f>
        <v>0</v>
      </c>
      <c r="O88" s="21">
        <f>SUM('Z-高新:Z-中天鸿锂'!O88)</f>
        <v>0</v>
      </c>
      <c r="P88" s="47">
        <f t="shared" si="1"/>
        <v>0</v>
      </c>
      <c r="T88" s="48"/>
    </row>
    <row r="89" s="5" customFormat="1" ht="17.25" customHeight="1" spans="1:20">
      <c r="A89" s="52"/>
      <c r="B89" s="19" t="s">
        <v>172</v>
      </c>
      <c r="C89" s="32" t="s">
        <v>172</v>
      </c>
      <c r="D89" s="21">
        <f>SUM('Z-高新:Z-中天鸿锂'!D89)</f>
        <v>0</v>
      </c>
      <c r="E89" s="21">
        <f>SUM('Z-高新:Z-中天鸿锂'!E89)</f>
        <v>0</v>
      </c>
      <c r="F89" s="21">
        <f>SUM('Z-高新:Z-中天鸿锂'!F89)</f>
        <v>0</v>
      </c>
      <c r="G89" s="21">
        <f>SUM('Z-高新:Z-中天鸿锂'!G89)</f>
        <v>0</v>
      </c>
      <c r="H89" s="21">
        <f>SUM('Z-高新:Z-中天鸿锂'!H89)</f>
        <v>0</v>
      </c>
      <c r="I89" s="21">
        <f>SUM('Z-高新:Z-中天鸿锂'!I89)</f>
        <v>0</v>
      </c>
      <c r="J89" s="21">
        <f>SUM('Z-高新:Z-中天鸿锂'!J89)</f>
        <v>0</v>
      </c>
      <c r="K89" s="21">
        <f>SUM('Z-高新:Z-中天鸿锂'!K89)</f>
        <v>0</v>
      </c>
      <c r="L89" s="21">
        <f>SUM('Z-高新:Z-中天鸿锂'!L89)</f>
        <v>0</v>
      </c>
      <c r="M89" s="21">
        <f>SUM('Z-高新:Z-中天鸿锂'!M89)</f>
        <v>0</v>
      </c>
      <c r="N89" s="21">
        <f>SUM('Z-高新:Z-中天鸿锂'!N89)</f>
        <v>0</v>
      </c>
      <c r="O89" s="21">
        <f>SUM('Z-高新:Z-中天鸿锂'!O89)</f>
        <v>0</v>
      </c>
      <c r="P89" s="47">
        <f t="shared" si="1"/>
        <v>0</v>
      </c>
      <c r="T89" s="48"/>
    </row>
    <row r="90" s="5" customFormat="1" ht="17.25" customHeight="1" spans="1:20">
      <c r="A90" s="53" t="s">
        <v>173</v>
      </c>
      <c r="B90" s="19" t="s">
        <v>174</v>
      </c>
      <c r="C90" s="32" t="s">
        <v>174</v>
      </c>
      <c r="D90" s="21">
        <f>SUM('Z-高新:Z-中天鸿锂'!D90)</f>
        <v>0</v>
      </c>
      <c r="E90" s="21">
        <f>SUM('Z-高新:Z-中天鸿锂'!E90)</f>
        <v>0</v>
      </c>
      <c r="F90" s="21">
        <f>SUM('Z-高新:Z-中天鸿锂'!F90)</f>
        <v>0</v>
      </c>
      <c r="G90" s="21">
        <f>SUM('Z-高新:Z-中天鸿锂'!G90)</f>
        <v>0</v>
      </c>
      <c r="H90" s="21">
        <f>SUM('Z-高新:Z-中天鸿锂'!H90)</f>
        <v>0</v>
      </c>
      <c r="I90" s="21">
        <f>SUM('Z-高新:Z-中天鸿锂'!I90)</f>
        <v>0</v>
      </c>
      <c r="J90" s="21">
        <f>SUM('Z-高新:Z-中天鸿锂'!J90)</f>
        <v>0</v>
      </c>
      <c r="K90" s="21">
        <f>SUM('Z-高新:Z-中天鸿锂'!K90)</f>
        <v>0</v>
      </c>
      <c r="L90" s="21">
        <f>SUM('Z-高新:Z-中天鸿锂'!L90)</f>
        <v>0</v>
      </c>
      <c r="M90" s="21">
        <f>SUM('Z-高新:Z-中天鸿锂'!M90)</f>
        <v>0</v>
      </c>
      <c r="N90" s="21">
        <f>SUM('Z-高新:Z-中天鸿锂'!N90)</f>
        <v>0</v>
      </c>
      <c r="O90" s="21">
        <f>SUM('Z-高新:Z-中天鸿锂'!O90)</f>
        <v>0</v>
      </c>
      <c r="P90" s="47">
        <f t="shared" si="1"/>
        <v>0</v>
      </c>
      <c r="T90" s="48"/>
    </row>
    <row r="91" s="5" customFormat="1" ht="17.25" customHeight="1" spans="1:20">
      <c r="A91" s="54"/>
      <c r="B91" s="23" t="s">
        <v>175</v>
      </c>
      <c r="C91" s="55" t="s">
        <v>175</v>
      </c>
      <c r="D91" s="21">
        <f>SUM('Z-高新:Z-中天鸿锂'!D91)</f>
        <v>0</v>
      </c>
      <c r="E91" s="21">
        <f>SUM('Z-高新:Z-中天鸿锂'!E91)</f>
        <v>0</v>
      </c>
      <c r="F91" s="21">
        <f>SUM('Z-高新:Z-中天鸿锂'!F91)</f>
        <v>0</v>
      </c>
      <c r="G91" s="21">
        <f>SUM('Z-高新:Z-中天鸿锂'!G91)</f>
        <v>0</v>
      </c>
      <c r="H91" s="21">
        <f>SUM('Z-高新:Z-中天鸿锂'!H91)</f>
        <v>0</v>
      </c>
      <c r="I91" s="21">
        <f>SUM('Z-高新:Z-中天鸿锂'!I91)</f>
        <v>0</v>
      </c>
      <c r="J91" s="21">
        <f>SUM('Z-高新:Z-中天鸿锂'!J91)</f>
        <v>0</v>
      </c>
      <c r="K91" s="21">
        <f>SUM('Z-高新:Z-中天鸿锂'!K91)</f>
        <v>0</v>
      </c>
      <c r="L91" s="21">
        <f>SUM('Z-高新:Z-中天鸿锂'!L91)</f>
        <v>0</v>
      </c>
      <c r="M91" s="21">
        <f>SUM('Z-高新:Z-中天鸿锂'!M91)</f>
        <v>0</v>
      </c>
      <c r="N91" s="21">
        <f>SUM('Z-高新:Z-中天鸿锂'!N91)</f>
        <v>0</v>
      </c>
      <c r="O91" s="21">
        <f>SUM('Z-高新:Z-中天鸿锂'!O91)</f>
        <v>0</v>
      </c>
      <c r="P91" s="47">
        <f t="shared" si="1"/>
        <v>0</v>
      </c>
      <c r="T91" s="48"/>
    </row>
    <row r="92" s="5" customFormat="1" ht="17.25" customHeight="1" spans="1:20">
      <c r="A92" s="56"/>
      <c r="B92" s="26" t="s">
        <v>83</v>
      </c>
      <c r="C92" s="33" t="s">
        <v>83</v>
      </c>
      <c r="D92" s="21">
        <f>SUM('Z-高新:Z-中天鸿锂'!D92)</f>
        <v>1318783</v>
      </c>
      <c r="E92" s="21">
        <f>SUM('Z-高新:Z-中天鸿锂'!E92)</f>
        <v>1331727.89</v>
      </c>
      <c r="F92" s="21">
        <f>SUM('Z-高新:Z-中天鸿锂'!F92)</f>
        <v>1784051.1</v>
      </c>
      <c r="G92" s="21">
        <f>SUM('Z-高新:Z-中天鸿锂'!G92)</f>
        <v>1904902.66</v>
      </c>
      <c r="H92" s="21">
        <f>SUM('Z-高新:Z-中天鸿锂'!H92)</f>
        <v>0</v>
      </c>
      <c r="I92" s="21">
        <f>SUM('Z-高新:Z-中天鸿锂'!I92)</f>
        <v>0</v>
      </c>
      <c r="J92" s="21">
        <f>SUM('Z-高新:Z-中天鸿锂'!J92)</f>
        <v>0</v>
      </c>
      <c r="K92" s="21">
        <f>SUM('Z-高新:Z-中天鸿锂'!K92)</f>
        <v>0</v>
      </c>
      <c r="L92" s="21">
        <f>SUM('Z-高新:Z-中天鸿锂'!L92)</f>
        <v>0</v>
      </c>
      <c r="M92" s="21">
        <f>SUM('Z-高新:Z-中天鸿锂'!M92)</f>
        <v>0</v>
      </c>
      <c r="N92" s="21">
        <f>SUM('Z-高新:Z-中天鸿锂'!N92)</f>
        <v>0</v>
      </c>
      <c r="O92" s="21">
        <f>SUM('Z-高新:Z-中天鸿锂'!O92)</f>
        <v>0</v>
      </c>
      <c r="P92" s="47">
        <f t="shared" si="1"/>
        <v>6339464.65</v>
      </c>
      <c r="T92" s="48"/>
    </row>
    <row r="93" s="6" customFormat="1" ht="15" customHeight="1" spans="1:20">
      <c r="A93" s="57" t="s">
        <v>12</v>
      </c>
      <c r="B93" s="57"/>
      <c r="C93" s="57"/>
      <c r="D93" s="58">
        <f>SUM(D6:D92)</f>
        <v>40650148.07</v>
      </c>
      <c r="E93" s="58">
        <f t="shared" ref="E93:O93" si="2">SUM(E6:E92)</f>
        <v>33357177.4300001</v>
      </c>
      <c r="F93" s="58">
        <f t="shared" si="2"/>
        <v>41018794.16</v>
      </c>
      <c r="G93" s="58">
        <f t="shared" si="2"/>
        <v>44356332.6200002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159382452.28</v>
      </c>
      <c r="T93" s="48"/>
    </row>
    <row r="94" s="7" customFormat="1" ht="15" customHeight="1" spans="1:16">
      <c r="A94" s="59" t="s">
        <v>387</v>
      </c>
      <c r="B94" s="59"/>
      <c r="C94" s="59"/>
      <c r="D94" s="21">
        <f>SUM('Z-高新:Z-中天鸿锂'!D94)</f>
        <v>6768302.62</v>
      </c>
      <c r="E94" s="21">
        <f>SUM('Z-高新:Z-中天鸿锂'!E94)</f>
        <v>7681077.39500002</v>
      </c>
      <c r="F94" s="21">
        <f>SUM('Z-高新:Z-中天鸿锂'!F94)</f>
        <v>8034934.23</v>
      </c>
      <c r="G94" s="21">
        <f>SUM('Z-高新:Z-中天鸿锂'!G94)</f>
        <v>8014546.59499998</v>
      </c>
      <c r="H94" s="21">
        <f>SUM('Z-高新:Z-中天鸿锂'!H94)</f>
        <v>0</v>
      </c>
      <c r="I94" s="21">
        <f>SUM('Z-高新:Z-中天鸿锂'!I94)</f>
        <v>0</v>
      </c>
      <c r="J94" s="21">
        <f>SUM('Z-高新:Z-中天鸿锂'!J94)</f>
        <v>0</v>
      </c>
      <c r="K94" s="21">
        <f>SUM('Z-高新:Z-中天鸿锂'!K94)</f>
        <v>0</v>
      </c>
      <c r="L94" s="21">
        <f>SUM('Z-高新:Z-中天鸿锂'!L94)</f>
        <v>0</v>
      </c>
      <c r="M94" s="21">
        <f>SUM('Z-高新:Z-中天鸿锂'!M94)</f>
        <v>0</v>
      </c>
      <c r="N94" s="21">
        <f>SUM('Z-高新:Z-中天鸿锂'!N94)</f>
        <v>0</v>
      </c>
      <c r="O94" s="21">
        <f>SUM('Z-高新:Z-中天鸿锂'!O94)</f>
        <v>0</v>
      </c>
      <c r="P94" s="47">
        <f t="shared" si="1"/>
        <v>30498860.84</v>
      </c>
    </row>
    <row r="95" s="7" customFormat="1" ht="15" customHeight="1" spans="1:16">
      <c r="A95" s="59" t="s">
        <v>178</v>
      </c>
      <c r="B95" s="59"/>
      <c r="C95" s="59"/>
      <c r="D95" s="21">
        <f>SUM('Z-高新:Z-中天鸿锂'!D95)</f>
        <v>28169665.38</v>
      </c>
      <c r="E95" s="21">
        <f>SUM('Z-高新:Z-中天鸿锂'!E95)</f>
        <v>20095951.7950001</v>
      </c>
      <c r="F95" s="21">
        <f>SUM('Z-高新:Z-中天鸿锂'!F95)</f>
        <v>26795356.68</v>
      </c>
      <c r="G95" s="21">
        <f>SUM('Z-高新:Z-中天鸿锂'!G95)</f>
        <v>28850217.2550001</v>
      </c>
      <c r="H95" s="21">
        <f>SUM('Z-高新:Z-中天鸿锂'!H95)</f>
        <v>0</v>
      </c>
      <c r="I95" s="21">
        <f>SUM('Z-高新:Z-中天鸿锂'!I95)</f>
        <v>0</v>
      </c>
      <c r="J95" s="21">
        <f>SUM('Z-高新:Z-中天鸿锂'!J95)</f>
        <v>0</v>
      </c>
      <c r="K95" s="21">
        <f>SUM('Z-高新:Z-中天鸿锂'!K95)</f>
        <v>0</v>
      </c>
      <c r="L95" s="21">
        <f>SUM('Z-高新:Z-中天鸿锂'!L95)</f>
        <v>0</v>
      </c>
      <c r="M95" s="21">
        <f>SUM('Z-高新:Z-中天鸿锂'!M95)</f>
        <v>0</v>
      </c>
      <c r="N95" s="21">
        <f>SUM('Z-高新:Z-中天鸿锂'!N95)</f>
        <v>0</v>
      </c>
      <c r="O95" s="21">
        <f>SUM('Z-高新:Z-中天鸿锂'!O95)</f>
        <v>0</v>
      </c>
      <c r="P95" s="47">
        <f t="shared" si="1"/>
        <v>103911191.11</v>
      </c>
    </row>
    <row r="96" s="7" customFormat="1" ht="15" customHeight="1" spans="1:16">
      <c r="A96" s="60" t="s">
        <v>179</v>
      </c>
      <c r="B96" s="60"/>
      <c r="C96" s="60"/>
      <c r="D96" s="21">
        <f>SUM('Z-高新:Z-中天鸿锂'!D96)</f>
        <v>0</v>
      </c>
      <c r="E96" s="21">
        <f>SUM('Z-高新:Z-中天鸿锂'!E96)</f>
        <v>75989.2</v>
      </c>
      <c r="F96" s="21">
        <f>SUM('Z-高新:Z-中天鸿锂'!F96)</f>
        <v>-75989.2</v>
      </c>
      <c r="G96" s="21">
        <f>SUM('Z-高新:Z-中天鸿锂'!G96)</f>
        <v>-7.27595761418343e-12</v>
      </c>
      <c r="H96" s="21">
        <f>SUM('Z-高新:Z-中天鸿锂'!H96)</f>
        <v>0</v>
      </c>
      <c r="I96" s="21">
        <f>SUM('Z-高新:Z-中天鸿锂'!I96)</f>
        <v>0</v>
      </c>
      <c r="J96" s="21">
        <f>SUM('Z-高新:Z-中天鸿锂'!J96)</f>
        <v>0</v>
      </c>
      <c r="K96" s="21">
        <f>SUM('Z-高新:Z-中天鸿锂'!K96)</f>
        <v>0</v>
      </c>
      <c r="L96" s="21">
        <f>SUM('Z-高新:Z-中天鸿锂'!L96)</f>
        <v>0</v>
      </c>
      <c r="M96" s="21">
        <f>SUM('Z-高新:Z-中天鸿锂'!M96)</f>
        <v>0</v>
      </c>
      <c r="N96" s="21">
        <f>SUM('Z-高新:Z-中天鸿锂'!N96)</f>
        <v>0</v>
      </c>
      <c r="O96" s="21">
        <f>SUM('Z-高新:Z-中天鸿锂'!O96)</f>
        <v>0</v>
      </c>
      <c r="P96" s="47">
        <f t="shared" si="1"/>
        <v>-7.27595761418343e-12</v>
      </c>
    </row>
    <row r="97" s="7" customFormat="1" ht="15" customHeight="1" spans="1:16">
      <c r="A97" s="61" t="s">
        <v>180</v>
      </c>
      <c r="B97" s="62"/>
      <c r="C97" s="63"/>
      <c r="D97" s="21">
        <f>SUM('Z-高新:Z-中天鸿锂'!D97)</f>
        <v>5712180.07</v>
      </c>
      <c r="E97" s="21">
        <f>SUM('Z-高新:Z-中天鸿锂'!E97)</f>
        <v>5504159.03999997</v>
      </c>
      <c r="F97" s="21">
        <f>SUM('Z-高新:Z-中天鸿锂'!F97)</f>
        <v>6264492.45</v>
      </c>
      <c r="G97" s="21">
        <f>SUM('Z-高新:Z-中天鸿锂'!G97)</f>
        <v>7491568.77</v>
      </c>
      <c r="H97" s="21">
        <f>SUM('Z-高新:Z-中天鸿锂'!H97)</f>
        <v>0</v>
      </c>
      <c r="I97" s="21">
        <f>SUM('Z-高新:Z-中天鸿锂'!I97)</f>
        <v>0</v>
      </c>
      <c r="J97" s="21">
        <f>SUM('Z-高新:Z-中天鸿锂'!J97)</f>
        <v>0</v>
      </c>
      <c r="K97" s="21">
        <f>SUM('Z-高新:Z-中天鸿锂'!K97)</f>
        <v>0</v>
      </c>
      <c r="L97" s="21">
        <f>SUM('Z-高新:Z-中天鸿锂'!L97)</f>
        <v>0</v>
      </c>
      <c r="M97" s="21">
        <f>SUM('Z-高新:Z-中天鸿锂'!M97)</f>
        <v>0</v>
      </c>
      <c r="N97" s="21">
        <f>SUM('Z-高新:Z-中天鸿锂'!N97)</f>
        <v>0</v>
      </c>
      <c r="O97" s="21">
        <f>SUM('Z-高新:Z-中天鸿锂'!O97)</f>
        <v>0</v>
      </c>
      <c r="P97" s="47">
        <f t="shared" si="1"/>
        <v>24972400.33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7" customFormat="1" ht="18.75" customHeight="1" spans="1:16">
      <c r="A99" s="57" t="s">
        <v>388</v>
      </c>
      <c r="B99" s="57"/>
      <c r="C99" s="57"/>
      <c r="D99" s="98"/>
      <c r="E99" s="98"/>
      <c r="F99" s="98"/>
      <c r="G99" s="99"/>
      <c r="H99" s="98"/>
      <c r="I99" s="98"/>
      <c r="J99" s="98"/>
      <c r="K99" s="98"/>
      <c r="L99" s="99"/>
      <c r="M99" s="98"/>
      <c r="N99" s="98"/>
      <c r="O99" s="109"/>
      <c r="P99" s="47"/>
    </row>
    <row r="100" s="7" customFormat="1" ht="15" customHeight="1" spans="1:16">
      <c r="A100" s="59" t="s">
        <v>389</v>
      </c>
      <c r="B100" s="59"/>
      <c r="C100" s="59"/>
      <c r="D100" s="100"/>
      <c r="E100" s="100"/>
      <c r="F100" s="100"/>
      <c r="G100" s="99"/>
      <c r="H100" s="100"/>
      <c r="I100" s="100"/>
      <c r="J100" s="100"/>
      <c r="K100" s="100"/>
      <c r="L100" s="99"/>
      <c r="M100" s="100"/>
      <c r="N100" s="100"/>
      <c r="O100" s="109"/>
      <c r="P100" s="47"/>
    </row>
    <row r="101" s="7" customFormat="1" ht="15" customHeight="1" spans="1:16">
      <c r="A101" s="59" t="s">
        <v>390</v>
      </c>
      <c r="B101" s="59"/>
      <c r="C101" s="59"/>
      <c r="D101" s="100"/>
      <c r="E101" s="100"/>
      <c r="F101" s="100"/>
      <c r="G101" s="99"/>
      <c r="H101" s="100"/>
      <c r="I101" s="100"/>
      <c r="J101" s="100"/>
      <c r="K101" s="100"/>
      <c r="L101" s="99"/>
      <c r="M101" s="100"/>
      <c r="N101" s="100"/>
      <c r="O101" s="109"/>
      <c r="P101" s="47"/>
    </row>
    <row r="102" s="7" customFormat="1" ht="15" customHeight="1" spans="1:16">
      <c r="A102" s="59" t="s">
        <v>391</v>
      </c>
      <c r="B102" s="59"/>
      <c r="C102" s="59"/>
      <c r="D102" s="98"/>
      <c r="E102" s="98"/>
      <c r="F102" s="98"/>
      <c r="G102" s="99"/>
      <c r="H102" s="98"/>
      <c r="I102" s="98"/>
      <c r="J102" s="98"/>
      <c r="K102" s="98"/>
      <c r="L102" s="99"/>
      <c r="M102" s="98"/>
      <c r="N102" s="98"/>
      <c r="O102" s="109"/>
      <c r="P102" s="47"/>
    </row>
    <row r="103" s="8" customFormat="1" ht="16.5" customHeight="1" spans="4:15">
      <c r="D103" s="101">
        <f>D93-SUM(D94:D97)</f>
        <v>0</v>
      </c>
      <c r="E103" s="101">
        <f>E93-SUM(E94:E97)</f>
        <v>4.84287738800049e-8</v>
      </c>
      <c r="F103" s="101">
        <f t="shared" ref="F103:O103" si="3">F93-SUM(F94:F97)</f>
        <v>0</v>
      </c>
      <c r="G103" s="101">
        <f t="shared" si="3"/>
        <v>1.19209289550781e-7</v>
      </c>
      <c r="H103" s="101">
        <f t="shared" si="3"/>
        <v>0</v>
      </c>
      <c r="I103" s="101">
        <f t="shared" si="3"/>
        <v>0</v>
      </c>
      <c r="J103" s="101">
        <f t="shared" si="3"/>
        <v>0</v>
      </c>
      <c r="K103" s="101">
        <f t="shared" si="3"/>
        <v>0</v>
      </c>
      <c r="L103" s="101">
        <f t="shared" si="3"/>
        <v>0</v>
      </c>
      <c r="M103" s="101">
        <f t="shared" si="3"/>
        <v>0</v>
      </c>
      <c r="N103" s="101">
        <f t="shared" si="3"/>
        <v>0</v>
      </c>
      <c r="O103" s="101">
        <f t="shared" si="3"/>
        <v>0</v>
      </c>
    </row>
    <row r="104" s="9" customFormat="1" ht="16.5" customHeight="1" spans="4:16"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</row>
    <row r="105" s="9" customFormat="1" spans="2:12">
      <c r="B105" s="9" t="s">
        <v>392</v>
      </c>
      <c r="E105" s="65"/>
      <c r="F105" s="65"/>
      <c r="G105" s="65"/>
      <c r="J105" s="65"/>
      <c r="K105" s="67"/>
      <c r="L105" s="67"/>
    </row>
    <row r="106" s="9" customFormat="1" spans="2:9">
      <c r="B106" s="9" t="s">
        <v>393</v>
      </c>
      <c r="I106" s="110"/>
    </row>
    <row r="107" s="9" customFormat="1" spans="9:9">
      <c r="I107" s="110"/>
    </row>
    <row r="108" s="9" customFormat="1" spans="9:9">
      <c r="I108" s="110"/>
    </row>
    <row r="109" s="9" customFormat="1" spans="9:9">
      <c r="I109" s="110"/>
    </row>
    <row r="110" s="9" customFormat="1" spans="9:9">
      <c r="I110" s="110"/>
    </row>
    <row r="111" s="9" customFormat="1" spans="3:16">
      <c r="C111" s="102" t="s">
        <v>11</v>
      </c>
      <c r="D111" s="103">
        <f>D5</f>
        <v>43831</v>
      </c>
      <c r="E111" s="103">
        <f t="shared" ref="E111:O111" si="4">E5</f>
        <v>43862</v>
      </c>
      <c r="F111" s="103">
        <f t="shared" si="4"/>
        <v>43892</v>
      </c>
      <c r="G111" s="103">
        <f t="shared" si="4"/>
        <v>43924</v>
      </c>
      <c r="H111" s="103">
        <f t="shared" si="4"/>
        <v>43955</v>
      </c>
      <c r="I111" s="103">
        <f t="shared" si="4"/>
        <v>43987</v>
      </c>
      <c r="J111" s="103">
        <f t="shared" si="4"/>
        <v>44018</v>
      </c>
      <c r="K111" s="103">
        <f t="shared" si="4"/>
        <v>44050</v>
      </c>
      <c r="L111" s="103">
        <f t="shared" si="4"/>
        <v>44082</v>
      </c>
      <c r="M111" s="103">
        <f t="shared" si="4"/>
        <v>44113</v>
      </c>
      <c r="N111" s="103">
        <f t="shared" si="4"/>
        <v>44145</v>
      </c>
      <c r="O111" s="103">
        <f t="shared" si="4"/>
        <v>44176</v>
      </c>
      <c r="P111" s="111" t="s">
        <v>12</v>
      </c>
    </row>
    <row r="112" hidden="1" spans="3:16">
      <c r="C112" s="104"/>
      <c r="D112" s="105" t="s">
        <v>46</v>
      </c>
      <c r="E112" s="105" t="s">
        <v>47</v>
      </c>
      <c r="F112" s="105" t="s">
        <v>48</v>
      </c>
      <c r="G112" s="105" t="s">
        <v>49</v>
      </c>
      <c r="H112" s="105" t="s">
        <v>50</v>
      </c>
      <c r="I112" s="105" t="s">
        <v>51</v>
      </c>
      <c r="J112" s="105" t="s">
        <v>52</v>
      </c>
      <c r="K112" s="105" t="s">
        <v>53</v>
      </c>
      <c r="L112" s="105" t="s">
        <v>54</v>
      </c>
      <c r="M112" s="105" t="s">
        <v>55</v>
      </c>
      <c r="N112" s="105" t="s">
        <v>56</v>
      </c>
      <c r="O112" s="105" t="s">
        <v>57</v>
      </c>
      <c r="P112" s="112"/>
    </row>
    <row r="113" ht="15" spans="3:16">
      <c r="C113" s="106" t="s">
        <v>394</v>
      </c>
      <c r="D113" s="107">
        <f ca="1">IFERROR(INDIRECT("'"&amp;$C113&amp;"'"&amp;"!"&amp;D$112&amp;"93"),"")</f>
        <v>2701346.69</v>
      </c>
      <c r="E113" s="107">
        <f ca="1" t="shared" ref="E113:O113" si="5">IFERROR(INDIRECT("'"&amp;$C113&amp;"'"&amp;"!"&amp;E$112&amp;"93"),"")</f>
        <v>2376114.72</v>
      </c>
      <c r="F113" s="107">
        <f ca="1" t="shared" si="5"/>
        <v>2680356.06</v>
      </c>
      <c r="G113" s="107">
        <f ca="1" t="shared" si="5"/>
        <v>3495777.19</v>
      </c>
      <c r="H113" s="107">
        <f ca="1" t="shared" si="5"/>
        <v>0</v>
      </c>
      <c r="I113" s="107">
        <f ca="1" t="shared" si="5"/>
        <v>0</v>
      </c>
      <c r="J113" s="107">
        <f ca="1" t="shared" si="5"/>
        <v>0</v>
      </c>
      <c r="K113" s="107">
        <f ca="1" t="shared" si="5"/>
        <v>0</v>
      </c>
      <c r="L113" s="107">
        <f ca="1" t="shared" si="5"/>
        <v>0</v>
      </c>
      <c r="M113" s="107">
        <f ca="1" t="shared" si="5"/>
        <v>0</v>
      </c>
      <c r="N113" s="107">
        <f ca="1" t="shared" si="5"/>
        <v>0</v>
      </c>
      <c r="O113" s="107">
        <f ca="1" t="shared" si="5"/>
        <v>0</v>
      </c>
      <c r="P113" s="113">
        <f ca="1" t="shared" ref="P113:P128" si="6">SUM(D113:O113)</f>
        <v>11253594.66</v>
      </c>
    </row>
    <row r="114" ht="15" spans="3:16">
      <c r="C114" s="106" t="s">
        <v>395</v>
      </c>
      <c r="D114" s="107">
        <f ca="1" t="shared" ref="D114:O126" si="7">IFERROR(INDIRECT("'"&amp;$C114&amp;"'"&amp;"!"&amp;D$112&amp;"93"),"")</f>
        <v>25346210.73</v>
      </c>
      <c r="E114" s="107">
        <f ca="1" t="shared" si="7"/>
        <v>24017926.6400001</v>
      </c>
      <c r="F114" s="107">
        <f ca="1" t="shared" si="7"/>
        <v>28577553.09</v>
      </c>
      <c r="G114" s="107">
        <f ca="1" t="shared" si="7"/>
        <v>31010685.9900001</v>
      </c>
      <c r="H114" s="107">
        <f ca="1" t="shared" si="7"/>
        <v>0</v>
      </c>
      <c r="I114" s="107">
        <f ca="1" t="shared" si="7"/>
        <v>0</v>
      </c>
      <c r="J114" s="107">
        <f ca="1" t="shared" si="7"/>
        <v>0</v>
      </c>
      <c r="K114" s="107">
        <f ca="1" t="shared" si="7"/>
        <v>0</v>
      </c>
      <c r="L114" s="107">
        <f ca="1" t="shared" si="7"/>
        <v>0</v>
      </c>
      <c r="M114" s="107">
        <f ca="1" t="shared" si="7"/>
        <v>0</v>
      </c>
      <c r="N114" s="107">
        <f ca="1" t="shared" si="7"/>
        <v>0</v>
      </c>
      <c r="O114" s="107">
        <f ca="1" t="shared" si="7"/>
        <v>0</v>
      </c>
      <c r="P114" s="113">
        <f ca="1" t="shared" si="6"/>
        <v>108952376.45</v>
      </c>
    </row>
    <row r="115" ht="15" spans="3:16">
      <c r="C115" s="106" t="s">
        <v>396</v>
      </c>
      <c r="D115" s="107">
        <f ca="1" t="shared" si="7"/>
        <v>2985055</v>
      </c>
      <c r="E115" s="107">
        <f ca="1" t="shared" si="7"/>
        <v>0</v>
      </c>
      <c r="F115" s="107">
        <f ca="1" t="shared" si="7"/>
        <v>0</v>
      </c>
      <c r="G115" s="107">
        <f ca="1" t="shared" si="7"/>
        <v>0</v>
      </c>
      <c r="H115" s="107">
        <f ca="1" t="shared" si="7"/>
        <v>0</v>
      </c>
      <c r="I115" s="107">
        <f ca="1" t="shared" si="7"/>
        <v>0</v>
      </c>
      <c r="J115" s="107">
        <f ca="1" t="shared" si="7"/>
        <v>0</v>
      </c>
      <c r="K115" s="107">
        <f ca="1" t="shared" si="7"/>
        <v>0</v>
      </c>
      <c r="L115" s="107">
        <f ca="1" t="shared" si="7"/>
        <v>0</v>
      </c>
      <c r="M115" s="107">
        <f ca="1" t="shared" si="7"/>
        <v>0</v>
      </c>
      <c r="N115" s="107">
        <f ca="1" t="shared" si="7"/>
        <v>0</v>
      </c>
      <c r="O115" s="107">
        <f ca="1" t="shared" si="7"/>
        <v>0</v>
      </c>
      <c r="P115" s="113">
        <f ca="1" t="shared" si="6"/>
        <v>2985055</v>
      </c>
    </row>
    <row r="116" ht="15" spans="3:16">
      <c r="C116" s="106" t="s">
        <v>397</v>
      </c>
      <c r="D116" s="107">
        <f ca="1" t="shared" si="7"/>
        <v>1178701.06</v>
      </c>
      <c r="E116" s="107">
        <f ca="1" t="shared" si="7"/>
        <v>695754.29</v>
      </c>
      <c r="F116" s="107">
        <f ca="1" t="shared" si="7"/>
        <v>1159019.39</v>
      </c>
      <c r="G116" s="107">
        <f ca="1" t="shared" si="7"/>
        <v>1237566.56</v>
      </c>
      <c r="H116" s="107">
        <f ca="1" t="shared" si="7"/>
        <v>0</v>
      </c>
      <c r="I116" s="107">
        <f ca="1" t="shared" si="7"/>
        <v>0</v>
      </c>
      <c r="J116" s="107">
        <f ca="1" t="shared" si="7"/>
        <v>0</v>
      </c>
      <c r="K116" s="107">
        <f ca="1" t="shared" si="7"/>
        <v>0</v>
      </c>
      <c r="L116" s="107">
        <f ca="1" t="shared" si="7"/>
        <v>0</v>
      </c>
      <c r="M116" s="107">
        <f ca="1" t="shared" si="7"/>
        <v>0</v>
      </c>
      <c r="N116" s="107">
        <f ca="1" t="shared" si="7"/>
        <v>0</v>
      </c>
      <c r="O116" s="107">
        <f ca="1" t="shared" si="7"/>
        <v>0</v>
      </c>
      <c r="P116" s="113">
        <f ca="1" t="shared" si="6"/>
        <v>4271041.3</v>
      </c>
    </row>
    <row r="117" ht="15" spans="3:16">
      <c r="C117" s="106" t="s">
        <v>398</v>
      </c>
      <c r="D117" s="107">
        <f ca="1" t="shared" si="7"/>
        <v>1300827.56</v>
      </c>
      <c r="E117" s="107">
        <f ca="1" t="shared" si="7"/>
        <v>344638.73</v>
      </c>
      <c r="F117" s="107">
        <f ca="1" t="shared" si="7"/>
        <v>1393150.59</v>
      </c>
      <c r="G117" s="107">
        <f ca="1" t="shared" si="7"/>
        <v>1074149.64</v>
      </c>
      <c r="H117" s="107">
        <f ca="1" t="shared" si="7"/>
        <v>0</v>
      </c>
      <c r="I117" s="107">
        <f ca="1" t="shared" si="7"/>
        <v>0</v>
      </c>
      <c r="J117" s="107">
        <f ca="1" t="shared" si="7"/>
        <v>0</v>
      </c>
      <c r="K117" s="107">
        <f ca="1" t="shared" si="7"/>
        <v>0</v>
      </c>
      <c r="L117" s="107">
        <f ca="1" t="shared" si="7"/>
        <v>0</v>
      </c>
      <c r="M117" s="107">
        <f ca="1" t="shared" si="7"/>
        <v>0</v>
      </c>
      <c r="N117" s="107">
        <f ca="1" t="shared" si="7"/>
        <v>0</v>
      </c>
      <c r="O117" s="107">
        <f ca="1" t="shared" si="7"/>
        <v>0</v>
      </c>
      <c r="P117" s="113">
        <f ca="1" t="shared" si="6"/>
        <v>4112766.52</v>
      </c>
    </row>
    <row r="118" ht="15" spans="3:16">
      <c r="C118" s="106" t="s">
        <v>399</v>
      </c>
      <c r="D118" s="107">
        <f ca="1" t="shared" si="7"/>
        <v>3878744.11</v>
      </c>
      <c r="E118" s="107">
        <f ca="1" t="shared" si="7"/>
        <v>3521396.48</v>
      </c>
      <c r="F118" s="107">
        <f ca="1" t="shared" si="7"/>
        <v>4497227.32</v>
      </c>
      <c r="G118" s="107">
        <f ca="1" t="shared" si="7"/>
        <v>4197363.92</v>
      </c>
      <c r="H118" s="107">
        <f ca="1" t="shared" si="7"/>
        <v>0</v>
      </c>
      <c r="I118" s="107">
        <f ca="1" t="shared" si="7"/>
        <v>0</v>
      </c>
      <c r="J118" s="107">
        <f ca="1" t="shared" si="7"/>
        <v>0</v>
      </c>
      <c r="K118" s="107">
        <f ca="1" t="shared" si="7"/>
        <v>0</v>
      </c>
      <c r="L118" s="107">
        <f ca="1" t="shared" si="7"/>
        <v>0</v>
      </c>
      <c r="M118" s="107">
        <f ca="1" t="shared" si="7"/>
        <v>0</v>
      </c>
      <c r="N118" s="107">
        <f ca="1" t="shared" si="7"/>
        <v>0</v>
      </c>
      <c r="O118" s="107">
        <f ca="1" t="shared" si="7"/>
        <v>0</v>
      </c>
      <c r="P118" s="113">
        <f ca="1" t="shared" si="6"/>
        <v>16094731.83</v>
      </c>
    </row>
    <row r="119" ht="15" spans="3:16">
      <c r="C119" s="106" t="s">
        <v>400</v>
      </c>
      <c r="D119" s="107">
        <f ca="1" t="shared" si="7"/>
        <v>903240.96</v>
      </c>
      <c r="E119" s="107">
        <f ca="1" t="shared" si="7"/>
        <v>802028.53</v>
      </c>
      <c r="F119" s="107">
        <f ca="1" t="shared" si="7"/>
        <v>723019.83</v>
      </c>
      <c r="G119" s="107">
        <f ca="1" t="shared" si="7"/>
        <v>952424.1</v>
      </c>
      <c r="H119" s="107">
        <f ca="1" t="shared" si="7"/>
        <v>0</v>
      </c>
      <c r="I119" s="107">
        <f ca="1" t="shared" si="7"/>
        <v>0</v>
      </c>
      <c r="J119" s="107">
        <f ca="1" t="shared" si="7"/>
        <v>0</v>
      </c>
      <c r="K119" s="107">
        <f ca="1" t="shared" si="7"/>
        <v>0</v>
      </c>
      <c r="L119" s="107">
        <f ca="1" t="shared" si="7"/>
        <v>0</v>
      </c>
      <c r="M119" s="107">
        <f ca="1" t="shared" si="7"/>
        <v>0</v>
      </c>
      <c r="N119" s="107">
        <f ca="1" t="shared" si="7"/>
        <v>0</v>
      </c>
      <c r="O119" s="107">
        <f ca="1" t="shared" si="7"/>
        <v>0</v>
      </c>
      <c r="P119" s="113">
        <f ca="1" t="shared" si="6"/>
        <v>3380713.42</v>
      </c>
    </row>
    <row r="120" ht="15" spans="3:16">
      <c r="C120" s="106" t="s">
        <v>401</v>
      </c>
      <c r="D120" s="107">
        <f ca="1" t="shared" si="7"/>
        <v>990786.52</v>
      </c>
      <c r="E120" s="107">
        <f ca="1" t="shared" si="7"/>
        <v>889767.68</v>
      </c>
      <c r="F120" s="107">
        <f ca="1" t="shared" si="7"/>
        <v>993742.83</v>
      </c>
      <c r="G120" s="107">
        <f ca="1" t="shared" si="7"/>
        <v>1227983.86</v>
      </c>
      <c r="H120" s="107">
        <f ca="1" t="shared" si="7"/>
        <v>0</v>
      </c>
      <c r="I120" s="107">
        <f ca="1" t="shared" si="7"/>
        <v>0</v>
      </c>
      <c r="J120" s="107">
        <f ca="1" t="shared" si="7"/>
        <v>0</v>
      </c>
      <c r="K120" s="107">
        <f ca="1" t="shared" si="7"/>
        <v>0</v>
      </c>
      <c r="L120" s="107">
        <f ca="1" t="shared" si="7"/>
        <v>0</v>
      </c>
      <c r="M120" s="107">
        <f ca="1" t="shared" si="7"/>
        <v>0</v>
      </c>
      <c r="N120" s="107">
        <f ca="1" t="shared" si="7"/>
        <v>0</v>
      </c>
      <c r="O120" s="107">
        <f ca="1" t="shared" si="7"/>
        <v>0</v>
      </c>
      <c r="P120" s="113">
        <f ca="1" t="shared" si="6"/>
        <v>4102280.89</v>
      </c>
    </row>
    <row r="121" ht="15" spans="3:16">
      <c r="C121" s="106" t="s">
        <v>402</v>
      </c>
      <c r="D121" s="107">
        <f ca="1" t="shared" si="7"/>
        <v>0</v>
      </c>
      <c r="E121" s="107">
        <f ca="1" t="shared" si="7"/>
        <v>0</v>
      </c>
      <c r="F121" s="107">
        <f ca="1" t="shared" si="7"/>
        <v>0</v>
      </c>
      <c r="G121" s="107">
        <f ca="1" t="shared" si="7"/>
        <v>0</v>
      </c>
      <c r="H121" s="107">
        <f ca="1" t="shared" si="7"/>
        <v>0</v>
      </c>
      <c r="I121" s="107">
        <f ca="1" t="shared" si="7"/>
        <v>0</v>
      </c>
      <c r="J121" s="107">
        <f ca="1" t="shared" si="7"/>
        <v>0</v>
      </c>
      <c r="K121" s="107">
        <f ca="1" t="shared" si="7"/>
        <v>0</v>
      </c>
      <c r="L121" s="107">
        <f ca="1" t="shared" si="7"/>
        <v>0</v>
      </c>
      <c r="M121" s="107">
        <f ca="1" t="shared" si="7"/>
        <v>0</v>
      </c>
      <c r="N121" s="107">
        <f ca="1" t="shared" si="7"/>
        <v>0</v>
      </c>
      <c r="O121" s="107">
        <f ca="1" t="shared" si="7"/>
        <v>0</v>
      </c>
      <c r="P121" s="113">
        <f ca="1" t="shared" si="6"/>
        <v>0</v>
      </c>
    </row>
    <row r="122" ht="15" spans="3:16">
      <c r="C122" s="106" t="s">
        <v>403</v>
      </c>
      <c r="D122" s="107">
        <f ca="1" t="shared" si="7"/>
        <v>1046537.53</v>
      </c>
      <c r="E122" s="107">
        <f ca="1" t="shared" si="7"/>
        <v>461308.93</v>
      </c>
      <c r="F122" s="107">
        <f ca="1" t="shared" si="7"/>
        <v>675398.37</v>
      </c>
      <c r="G122" s="107">
        <f ca="1" t="shared" si="7"/>
        <v>862599.65</v>
      </c>
      <c r="H122" s="107">
        <f ca="1" t="shared" si="7"/>
        <v>0</v>
      </c>
      <c r="I122" s="107">
        <f ca="1" t="shared" si="7"/>
        <v>0</v>
      </c>
      <c r="J122" s="107">
        <f ca="1" t="shared" si="7"/>
        <v>0</v>
      </c>
      <c r="K122" s="107">
        <f ca="1" t="shared" si="7"/>
        <v>0</v>
      </c>
      <c r="L122" s="107">
        <f ca="1" t="shared" si="7"/>
        <v>0</v>
      </c>
      <c r="M122" s="107">
        <f ca="1" t="shared" si="7"/>
        <v>0</v>
      </c>
      <c r="N122" s="107">
        <f ca="1" t="shared" si="7"/>
        <v>0</v>
      </c>
      <c r="O122" s="107">
        <f ca="1" t="shared" si="7"/>
        <v>0</v>
      </c>
      <c r="P122" s="113">
        <f ca="1" t="shared" si="6"/>
        <v>3045844.48</v>
      </c>
    </row>
    <row r="123" ht="15" spans="3:16">
      <c r="C123" s="106" t="s">
        <v>404</v>
      </c>
      <c r="D123" s="107">
        <f ca="1" t="shared" si="7"/>
        <v>0</v>
      </c>
      <c r="E123" s="107">
        <f ca="1" t="shared" si="7"/>
        <v>0</v>
      </c>
      <c r="F123" s="107">
        <f ca="1" t="shared" si="7"/>
        <v>0</v>
      </c>
      <c r="G123" s="107">
        <f ca="1" t="shared" si="7"/>
        <v>0</v>
      </c>
      <c r="H123" s="107">
        <f ca="1" t="shared" si="7"/>
        <v>0</v>
      </c>
      <c r="I123" s="107">
        <f ca="1" t="shared" si="7"/>
        <v>0</v>
      </c>
      <c r="J123" s="107">
        <f ca="1" t="shared" si="7"/>
        <v>0</v>
      </c>
      <c r="K123" s="107">
        <f ca="1" t="shared" si="7"/>
        <v>0</v>
      </c>
      <c r="L123" s="107">
        <f ca="1" t="shared" si="7"/>
        <v>0</v>
      </c>
      <c r="M123" s="107">
        <f ca="1" t="shared" si="7"/>
        <v>0</v>
      </c>
      <c r="N123" s="107">
        <f ca="1" t="shared" si="7"/>
        <v>0</v>
      </c>
      <c r="O123" s="107">
        <f ca="1" t="shared" si="7"/>
        <v>0</v>
      </c>
      <c r="P123" s="113">
        <f ca="1" t="shared" si="6"/>
        <v>0</v>
      </c>
    </row>
    <row r="124" ht="15" spans="3:16">
      <c r="C124" s="106" t="s">
        <v>405</v>
      </c>
      <c r="D124" s="107">
        <f ca="1" t="shared" si="7"/>
        <v>0</v>
      </c>
      <c r="E124" s="107">
        <f ca="1" t="shared" si="7"/>
        <v>0</v>
      </c>
      <c r="F124" s="107">
        <f ca="1" t="shared" si="7"/>
        <v>0</v>
      </c>
      <c r="G124" s="107">
        <f ca="1" t="shared" si="7"/>
        <v>0</v>
      </c>
      <c r="H124" s="107">
        <f ca="1" t="shared" si="7"/>
        <v>0</v>
      </c>
      <c r="I124" s="107">
        <f ca="1" t="shared" si="7"/>
        <v>0</v>
      </c>
      <c r="J124" s="107">
        <f ca="1" t="shared" si="7"/>
        <v>0</v>
      </c>
      <c r="K124" s="107">
        <f ca="1" t="shared" si="7"/>
        <v>0</v>
      </c>
      <c r="L124" s="107">
        <f ca="1" t="shared" si="7"/>
        <v>0</v>
      </c>
      <c r="M124" s="107">
        <f ca="1" t="shared" si="7"/>
        <v>0</v>
      </c>
      <c r="N124" s="107">
        <f ca="1" t="shared" si="7"/>
        <v>0</v>
      </c>
      <c r="O124" s="107">
        <f ca="1" t="shared" si="7"/>
        <v>0</v>
      </c>
      <c r="P124" s="113">
        <f ca="1" t="shared" si="6"/>
        <v>0</v>
      </c>
    </row>
    <row r="125" ht="15" spans="3:16">
      <c r="C125" s="106" t="s">
        <v>406</v>
      </c>
      <c r="D125" s="107">
        <f ca="1" t="shared" si="7"/>
        <v>0</v>
      </c>
      <c r="E125" s="107">
        <f ca="1" t="shared" si="7"/>
        <v>0</v>
      </c>
      <c r="F125" s="107">
        <f ca="1" t="shared" si="7"/>
        <v>0</v>
      </c>
      <c r="G125" s="107">
        <f ca="1" t="shared" si="7"/>
        <v>0</v>
      </c>
      <c r="H125" s="107">
        <f ca="1" t="shared" si="7"/>
        <v>0</v>
      </c>
      <c r="I125" s="107">
        <f ca="1" t="shared" si="7"/>
        <v>0</v>
      </c>
      <c r="J125" s="107">
        <f ca="1" t="shared" si="7"/>
        <v>0</v>
      </c>
      <c r="K125" s="107">
        <f ca="1" t="shared" si="7"/>
        <v>0</v>
      </c>
      <c r="L125" s="107">
        <f ca="1" t="shared" si="7"/>
        <v>0</v>
      </c>
      <c r="M125" s="107">
        <f ca="1" t="shared" si="7"/>
        <v>0</v>
      </c>
      <c r="N125" s="107">
        <f ca="1" t="shared" si="7"/>
        <v>0</v>
      </c>
      <c r="O125" s="107">
        <f ca="1" t="shared" si="7"/>
        <v>0</v>
      </c>
      <c r="P125" s="113">
        <f ca="1" t="shared" si="6"/>
        <v>0</v>
      </c>
    </row>
    <row r="126" ht="15" spans="3:16">
      <c r="C126" s="106" t="s">
        <v>407</v>
      </c>
      <c r="D126" s="107">
        <f ca="1" t="shared" si="7"/>
        <v>318697.91</v>
      </c>
      <c r="E126" s="107">
        <f ca="1" t="shared" si="7"/>
        <v>248241.43</v>
      </c>
      <c r="F126" s="107">
        <f ca="1" t="shared" si="7"/>
        <v>319326.68</v>
      </c>
      <c r="G126" s="107">
        <f ca="1" t="shared" si="7"/>
        <v>297781.71</v>
      </c>
      <c r="H126" s="107">
        <f ca="1" t="shared" si="7"/>
        <v>0</v>
      </c>
      <c r="I126" s="107">
        <f ca="1" t="shared" si="7"/>
        <v>0</v>
      </c>
      <c r="J126" s="107">
        <f ca="1" t="shared" si="7"/>
        <v>0</v>
      </c>
      <c r="K126" s="107">
        <f ca="1" t="shared" si="7"/>
        <v>0</v>
      </c>
      <c r="L126" s="107">
        <f ca="1" t="shared" si="7"/>
        <v>0</v>
      </c>
      <c r="M126" s="107">
        <f ca="1" t="shared" si="7"/>
        <v>0</v>
      </c>
      <c r="N126" s="107">
        <f ca="1" t="shared" si="7"/>
        <v>0</v>
      </c>
      <c r="O126" s="107">
        <f ca="1" t="shared" si="7"/>
        <v>0</v>
      </c>
      <c r="P126" s="113">
        <f ca="1" t="shared" si="6"/>
        <v>1184047.73</v>
      </c>
    </row>
    <row r="127" ht="15" spans="3:16">
      <c r="C127" s="106" t="s">
        <v>12</v>
      </c>
      <c r="D127" s="107">
        <f ca="1">SUM(D113:D126)</f>
        <v>40650148.07</v>
      </c>
      <c r="E127" s="107">
        <f ca="1" t="shared" ref="E127:O127" si="8">SUM(E113:E126)</f>
        <v>33357177.4300001</v>
      </c>
      <c r="F127" s="107">
        <f ca="1" t="shared" si="8"/>
        <v>41018794.16</v>
      </c>
      <c r="G127" s="107">
        <f ca="1" t="shared" si="8"/>
        <v>44356332.6200001</v>
      </c>
      <c r="H127" s="107">
        <f ca="1" t="shared" si="8"/>
        <v>0</v>
      </c>
      <c r="I127" s="107">
        <f ca="1" t="shared" si="8"/>
        <v>0</v>
      </c>
      <c r="J127" s="107">
        <f ca="1" t="shared" si="8"/>
        <v>0</v>
      </c>
      <c r="K127" s="107">
        <f ca="1" t="shared" si="8"/>
        <v>0</v>
      </c>
      <c r="L127" s="107">
        <f ca="1" t="shared" si="8"/>
        <v>0</v>
      </c>
      <c r="M127" s="107">
        <f ca="1" t="shared" si="8"/>
        <v>0</v>
      </c>
      <c r="N127" s="107">
        <f ca="1" t="shared" si="8"/>
        <v>0</v>
      </c>
      <c r="O127" s="107">
        <f ca="1" t="shared" si="8"/>
        <v>0</v>
      </c>
      <c r="P127" s="113">
        <f ca="1" t="shared" si="6"/>
        <v>159382452.28</v>
      </c>
    </row>
    <row r="128" ht="15" spans="3:16">
      <c r="C128" s="106" t="s">
        <v>13</v>
      </c>
      <c r="D128" s="108">
        <f ca="1">SUM('Z-高新:Z-中天鸿锂'!D93)-D127</f>
        <v>0</v>
      </c>
      <c r="E128" s="108">
        <f ca="1">SUM('Z-高新:Z-中天鸿锂'!E93)-E127</f>
        <v>0</v>
      </c>
      <c r="F128" s="108">
        <f ca="1">SUM('Z-高新:Z-中天鸿锂'!F93)-F127</f>
        <v>0</v>
      </c>
      <c r="G128" s="108">
        <f ca="1">SUM('Z-高新:Z-中天鸿锂'!G93)-G127</f>
        <v>0</v>
      </c>
      <c r="H128" s="108">
        <f ca="1">SUM('Z-高新:Z-中天鸿锂'!H93)-H127</f>
        <v>0</v>
      </c>
      <c r="I128" s="108">
        <f ca="1">SUM('Z-高新:Z-中天鸿锂'!I93)-I127</f>
        <v>0</v>
      </c>
      <c r="J128" s="108">
        <f ca="1">SUM('Z-高新:Z-中天鸿锂'!J93)-J127</f>
        <v>0</v>
      </c>
      <c r="K128" s="108">
        <f ca="1">SUM('Z-高新:Z-中天鸿锂'!K93)-K127</f>
        <v>0</v>
      </c>
      <c r="L128" s="108">
        <f ca="1">SUM('Z-高新:Z-中天鸿锂'!L93)-L127</f>
        <v>0</v>
      </c>
      <c r="M128" s="108">
        <f ca="1">SUM('Z-高新:Z-中天鸿锂'!M93)-M127</f>
        <v>0</v>
      </c>
      <c r="N128" s="108">
        <f ca="1">SUM('Z-高新:Z-中天鸿锂'!N93)-N127</f>
        <v>0</v>
      </c>
      <c r="O128" s="108">
        <f ca="1">SUM('Z-高新:Z-中天鸿锂'!O93)-O127</f>
        <v>0</v>
      </c>
      <c r="P128" s="113">
        <f ca="1" t="shared" si="6"/>
        <v>0</v>
      </c>
    </row>
  </sheetData>
  <mergeCells count="41">
    <mergeCell ref="A1:N1"/>
    <mergeCell ref="D4:O4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A34:C34 A103:IV103 Q34:S34 U34:IV34">
    <cfRule type="cellIs" dxfId="0" priority="1" stopIfTrue="1" operator="equal">
      <formula>"no"</formula>
    </cfRule>
  </conditionalFormatting>
  <pageMargins left="0.75" right="0.75" top="1" bottom="1" header="0.5" footer="0.5"/>
  <pageSetup paperSize="9" orientation="portrait" horizontalDpi="300" verticalDpi="300"/>
  <headerFooter alignWithMargins="0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408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1001595.09</v>
      </c>
      <c r="E6" s="21">
        <v>771449.23</v>
      </c>
      <c r="F6" s="21">
        <v>945360.65</v>
      </c>
      <c r="G6" s="21">
        <v>1247244.54</v>
      </c>
      <c r="H6" s="21"/>
      <c r="I6" s="46"/>
      <c r="J6" s="21"/>
      <c r="K6" s="21"/>
      <c r="L6" s="21"/>
      <c r="M6" s="21"/>
      <c r="N6" s="21"/>
      <c r="O6" s="21"/>
      <c r="P6" s="47">
        <f>SUM(D6:O6)</f>
        <v>3965649.51</v>
      </c>
      <c r="Q6" s="48"/>
    </row>
    <row r="7" s="5" customFormat="1" ht="17.25" customHeight="1" spans="1:16">
      <c r="A7" s="22"/>
      <c r="B7" s="23"/>
      <c r="C7" s="20" t="s">
        <v>71</v>
      </c>
      <c r="D7" s="21">
        <v>153840.54</v>
      </c>
      <c r="E7" s="21">
        <v>71353</v>
      </c>
      <c r="F7" s="21">
        <v>73139</v>
      </c>
      <c r="G7" s="21">
        <v>279513.67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577846.21</v>
      </c>
    </row>
    <row r="8" s="5" customFormat="1" ht="17.25" customHeight="1" spans="1:16">
      <c r="A8" s="22"/>
      <c r="B8" s="19" t="s">
        <v>72</v>
      </c>
      <c r="C8" s="20" t="s">
        <v>72</v>
      </c>
      <c r="D8" s="21">
        <v>-7.27595761418343e-12</v>
      </c>
      <c r="E8" s="21">
        <v>0</v>
      </c>
      <c r="F8" s="21">
        <v>0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-7.27595761418343e-12</v>
      </c>
    </row>
    <row r="9" s="5" customFormat="1" ht="17.25" customHeight="1" spans="1:16">
      <c r="A9" s="22"/>
      <c r="B9" s="19" t="s">
        <v>73</v>
      </c>
      <c r="C9" s="20" t="s">
        <v>73</v>
      </c>
      <c r="D9" s="21">
        <v>0</v>
      </c>
      <c r="E9" s="21">
        <v>0</v>
      </c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>
        <v>0</v>
      </c>
      <c r="E10" s="21">
        <v>0</v>
      </c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>
        <v>3153</v>
      </c>
      <c r="E11" s="21">
        <v>4367</v>
      </c>
      <c r="F11" s="21">
        <v>0</v>
      </c>
      <c r="G11" s="21">
        <v>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7520</v>
      </c>
    </row>
    <row r="12" s="5" customFormat="1" ht="17.25" customHeight="1" spans="1:16">
      <c r="A12" s="22"/>
      <c r="B12" s="24"/>
      <c r="C12" s="20" t="s">
        <v>77</v>
      </c>
      <c r="D12" s="21">
        <v>0</v>
      </c>
      <c r="E12" s="21">
        <v>0</v>
      </c>
      <c r="F12" s="21">
        <v>37640</v>
      </c>
      <c r="G12" s="21">
        <v>22190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59830</v>
      </c>
    </row>
    <row r="13" s="5" customFormat="1" ht="17.25" customHeight="1" spans="1:16">
      <c r="A13" s="22"/>
      <c r="B13" s="24"/>
      <c r="C13" s="25" t="s">
        <v>78</v>
      </c>
      <c r="D13" s="21">
        <v>0</v>
      </c>
      <c r="E13" s="21">
        <v>0</v>
      </c>
      <c r="F13" s="21">
        <v>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>
        <v>0</v>
      </c>
      <c r="E14" s="21">
        <v>1100</v>
      </c>
      <c r="F14" s="21">
        <v>1700</v>
      </c>
      <c r="G14" s="21">
        <v>2200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5000</v>
      </c>
    </row>
    <row r="15" s="5" customFormat="1" ht="17.25" customHeight="1" spans="1:16">
      <c r="A15" s="22"/>
      <c r="B15" s="24"/>
      <c r="C15" s="25" t="s">
        <v>80</v>
      </c>
      <c r="D15" s="21">
        <v>0</v>
      </c>
      <c r="E15" s="21">
        <v>0</v>
      </c>
      <c r="F15" s="21"/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>
        <v>0</v>
      </c>
      <c r="E17" s="21">
        <v>0</v>
      </c>
      <c r="F17" s="21"/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92" t="s">
        <v>212</v>
      </c>
      <c r="D18" s="21">
        <v>0</v>
      </c>
      <c r="E18" s="21">
        <v>0</v>
      </c>
      <c r="F18" s="21"/>
      <c r="G18" s="21">
        <v>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26672</v>
      </c>
      <c r="E19" s="21">
        <v>30503</v>
      </c>
      <c r="F19" s="21">
        <v>30687</v>
      </c>
      <c r="G19" s="21">
        <v>38343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126205</v>
      </c>
    </row>
    <row r="20" s="5" customFormat="1" ht="17.25" customHeight="1" spans="1:16">
      <c r="A20" s="22"/>
      <c r="B20" s="19" t="s">
        <v>85</v>
      </c>
      <c r="C20" s="20" t="s">
        <v>85</v>
      </c>
      <c r="D20" s="21">
        <v>0</v>
      </c>
      <c r="E20" s="21">
        <v>0</v>
      </c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>
        <v>2215.46</v>
      </c>
      <c r="E21" s="21">
        <v>0</v>
      </c>
      <c r="F21" s="21">
        <v>0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2215.46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82094.46</v>
      </c>
      <c r="E22" s="21">
        <v>79964.78</v>
      </c>
      <c r="F22" s="21">
        <v>-81029.62</v>
      </c>
      <c r="G22" s="21">
        <v>3405.92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84435.54</v>
      </c>
    </row>
    <row r="23" s="5" customFormat="1" ht="17.25" customHeight="1" spans="1:16">
      <c r="A23" s="22"/>
      <c r="B23" s="24"/>
      <c r="C23" s="25" t="s">
        <v>89</v>
      </c>
      <c r="D23" s="21">
        <v>1230.36</v>
      </c>
      <c r="E23" s="21">
        <v>1203.48</v>
      </c>
      <c r="F23" s="21">
        <v>-1216.92</v>
      </c>
      <c r="G23" s="21">
        <v>50.6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1267.52</v>
      </c>
    </row>
    <row r="24" s="5" customFormat="1" ht="17.25" customHeight="1" spans="1:16">
      <c r="A24" s="22"/>
      <c r="B24" s="24"/>
      <c r="C24" s="25" t="s">
        <v>90</v>
      </c>
      <c r="D24" s="21">
        <v>1674.18</v>
      </c>
      <c r="E24" s="21">
        <v>1633.86</v>
      </c>
      <c r="F24" s="21">
        <v>-1654.02</v>
      </c>
      <c r="G24" s="21">
        <v>75.9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1729.92</v>
      </c>
    </row>
    <row r="25" s="5" customFormat="1" ht="17.25" customHeight="1" spans="1:16">
      <c r="A25" s="22"/>
      <c r="B25" s="24"/>
      <c r="C25" s="25" t="s">
        <v>91</v>
      </c>
      <c r="D25" s="21">
        <v>57893.67</v>
      </c>
      <c r="E25" s="21">
        <v>56380.11</v>
      </c>
      <c r="F25" s="21">
        <v>22828.11</v>
      </c>
      <c r="G25" s="21">
        <v>49966.02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187067.91</v>
      </c>
    </row>
    <row r="26" s="5" customFormat="1" ht="17.25" customHeight="1" spans="1:16">
      <c r="A26" s="22"/>
      <c r="B26" s="23"/>
      <c r="C26" s="25" t="s">
        <v>92</v>
      </c>
      <c r="D26" s="21">
        <v>7272.09</v>
      </c>
      <c r="E26" s="21">
        <v>7081.97</v>
      </c>
      <c r="F26" s="21">
        <v>7081.97</v>
      </c>
      <c r="G26" s="21">
        <v>8650.46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30086.49</v>
      </c>
    </row>
    <row r="27" s="5" customFormat="1" ht="17.25" customHeight="1" spans="1:16">
      <c r="A27" s="22"/>
      <c r="B27" s="19" t="s">
        <v>93</v>
      </c>
      <c r="C27" s="20" t="s">
        <v>93</v>
      </c>
      <c r="D27" s="21">
        <v>0</v>
      </c>
      <c r="E27" s="21">
        <v>0</v>
      </c>
      <c r="F27" s="21"/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>
        <v>0</v>
      </c>
      <c r="E28" s="21">
        <v>0</v>
      </c>
      <c r="F28" s="21"/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>
        <v>0</v>
      </c>
      <c r="E29" s="21">
        <v>0</v>
      </c>
      <c r="F29" s="21">
        <v>1951.81</v>
      </c>
      <c r="G29" s="21">
        <v>1379.48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3331.29</v>
      </c>
    </row>
    <row r="30" s="5" customFormat="1" ht="17.25" customHeight="1" spans="1:16">
      <c r="A30" s="28"/>
      <c r="B30" s="26" t="s">
        <v>98</v>
      </c>
      <c r="C30" s="25" t="s">
        <v>98</v>
      </c>
      <c r="D30" s="21">
        <v>0</v>
      </c>
      <c r="E30" s="21">
        <v>0</v>
      </c>
      <c r="F30" s="21">
        <v>17455.79</v>
      </c>
      <c r="G30" s="21">
        <v>5818.58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23274.37</v>
      </c>
    </row>
    <row r="31" s="5" customFormat="1" ht="17.25" customHeight="1" spans="1:16">
      <c r="A31" s="28"/>
      <c r="B31" s="19" t="s">
        <v>99</v>
      </c>
      <c r="C31" s="25" t="s">
        <v>100</v>
      </c>
      <c r="D31" s="21">
        <v>0</v>
      </c>
      <c r="E31" s="21">
        <v>0</v>
      </c>
      <c r="F31" s="21"/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>
        <v>0</v>
      </c>
      <c r="E32" s="21">
        <v>0</v>
      </c>
      <c r="F32" s="21"/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>
        <v>0</v>
      </c>
      <c r="E33" s="21">
        <v>0</v>
      </c>
      <c r="F33" s="21"/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>
        <v>2308.93</v>
      </c>
      <c r="E34" s="21">
        <v>730</v>
      </c>
      <c r="F34" s="21">
        <v>226.18</v>
      </c>
      <c r="G34" s="21">
        <v>1234.42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4499.53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>
        <v>0</v>
      </c>
      <c r="E36" s="21">
        <v>2000</v>
      </c>
      <c r="F36" s="21">
        <v>2000</v>
      </c>
      <c r="G36" s="21">
        <v>2000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6000</v>
      </c>
    </row>
    <row r="37" s="5" customFormat="1" ht="28.5" customHeight="1" spans="1:16">
      <c r="A37" s="28"/>
      <c r="B37" s="26" t="s">
        <v>107</v>
      </c>
      <c r="C37" s="25" t="s">
        <v>107</v>
      </c>
      <c r="D37" s="21">
        <v>3081</v>
      </c>
      <c r="E37" s="21">
        <v>2500</v>
      </c>
      <c r="F37" s="21"/>
      <c r="G37" s="21">
        <v>260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5841</v>
      </c>
    </row>
    <row r="38" s="5" customFormat="1" ht="17.25" customHeight="1" spans="1:16">
      <c r="A38" s="28"/>
      <c r="B38" s="19" t="s">
        <v>108</v>
      </c>
      <c r="C38" s="25" t="s">
        <v>109</v>
      </c>
      <c r="D38" s="21">
        <v>0</v>
      </c>
      <c r="E38" s="21">
        <v>0</v>
      </c>
      <c r="F38" s="21"/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>
        <v>0</v>
      </c>
      <c r="E39" s="21">
        <v>61.78</v>
      </c>
      <c r="F39" s="21"/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61.78</v>
      </c>
    </row>
    <row r="40" s="5" customFormat="1" ht="17.25" customHeight="1" spans="1:16">
      <c r="A40" s="28"/>
      <c r="B40" s="26" t="s">
        <v>111</v>
      </c>
      <c r="C40" s="25" t="s">
        <v>111</v>
      </c>
      <c r="D40" s="21">
        <v>0</v>
      </c>
      <c r="E40" s="21">
        <v>0</v>
      </c>
      <c r="F40" s="21"/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67167.2</v>
      </c>
      <c r="E41" s="21">
        <v>276973</v>
      </c>
      <c r="F41" s="21">
        <v>-197543.49</v>
      </c>
      <c r="G41" s="21">
        <v>125502.37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272099.08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5746.35</v>
      </c>
      <c r="E42" s="21">
        <v>19774.62</v>
      </c>
      <c r="F42" s="21">
        <v>27601.66</v>
      </c>
      <c r="G42" s="21">
        <v>17552.94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70675.57</v>
      </c>
    </row>
    <row r="43" s="5" customFormat="1" ht="17.25" customHeight="1" spans="1:16">
      <c r="A43" s="31"/>
      <c r="B43" s="19" t="s">
        <v>115</v>
      </c>
      <c r="C43" s="32" t="s">
        <v>115</v>
      </c>
      <c r="D43" s="21">
        <v>27876.11</v>
      </c>
      <c r="E43" s="21">
        <v>9734.5</v>
      </c>
      <c r="F43" s="21">
        <v>0</v>
      </c>
      <c r="G43" s="21">
        <v>642.85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38253.46</v>
      </c>
    </row>
    <row r="44" s="5" customFormat="1" ht="17.25" customHeight="1" spans="1:16">
      <c r="A44" s="31"/>
      <c r="B44" s="19" t="s">
        <v>116</v>
      </c>
      <c r="C44" s="32" t="s">
        <v>117</v>
      </c>
      <c r="D44" s="21">
        <v>0</v>
      </c>
      <c r="E44" s="21">
        <v>0</v>
      </c>
      <c r="F44" s="21">
        <v>0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>
        <v>0</v>
      </c>
      <c r="E45" s="21">
        <v>0</v>
      </c>
      <c r="F45" s="21">
        <v>0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545767.98</v>
      </c>
      <c r="E46" s="21">
        <v>504349.709999999</v>
      </c>
      <c r="F46" s="21">
        <v>542098.170000001</v>
      </c>
      <c r="G46" s="21">
        <v>536815.63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2129031.49</v>
      </c>
    </row>
    <row r="47" s="5" customFormat="1" ht="17.25" customHeight="1" spans="1:16">
      <c r="A47" s="31"/>
      <c r="B47" s="26" t="s">
        <v>120</v>
      </c>
      <c r="C47" s="33" t="s">
        <v>120</v>
      </c>
      <c r="D47" s="21">
        <v>0</v>
      </c>
      <c r="E47" s="21">
        <v>0</v>
      </c>
      <c r="F47" s="21"/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>
        <v>183587.44</v>
      </c>
      <c r="E48" s="21">
        <v>176443.22</v>
      </c>
      <c r="F48" s="21">
        <v>185670.31</v>
      </c>
      <c r="G48" s="21">
        <v>199698.23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745399.2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>
        <v>165643.43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165643.43</v>
      </c>
    </row>
    <row r="50" s="5" customFormat="1" ht="17.25" customHeight="1" spans="1:16">
      <c r="A50" s="36"/>
      <c r="B50" s="38"/>
      <c r="C50" s="33" t="s">
        <v>125</v>
      </c>
      <c r="D50" s="21">
        <v>0</v>
      </c>
      <c r="E50" s="21">
        <v>0</v>
      </c>
      <c r="F50" s="21"/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>
        <v>0</v>
      </c>
      <c r="E51" s="21"/>
      <c r="F51" s="21"/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>
        <v>33681.77</v>
      </c>
      <c r="E52" s="21">
        <v>150422.85</v>
      </c>
      <c r="F52" s="21">
        <v>66923.17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251027.79</v>
      </c>
    </row>
    <row r="53" s="5" customFormat="1" ht="17.25" customHeight="1" spans="1:16">
      <c r="A53" s="36"/>
      <c r="B53" s="24"/>
      <c r="C53" s="33" t="s">
        <v>128</v>
      </c>
      <c r="D53" s="21">
        <v>1037.74</v>
      </c>
      <c r="E53" s="21">
        <v>4000</v>
      </c>
      <c r="F53" s="21">
        <v>7304.72</v>
      </c>
      <c r="G53" s="21">
        <v>48214.15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60556.61</v>
      </c>
    </row>
    <row r="54" s="5" customFormat="1" ht="17.25" customHeight="1" spans="1:16">
      <c r="A54" s="36"/>
      <c r="B54" s="23"/>
      <c r="C54" s="33" t="s">
        <v>83</v>
      </c>
      <c r="D54" s="21">
        <v>0</v>
      </c>
      <c r="E54" s="21"/>
      <c r="F54" s="21"/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>
        <v>0</v>
      </c>
      <c r="E55" s="21">
        <v>0</v>
      </c>
      <c r="F55" s="21"/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>
        <v>0</v>
      </c>
      <c r="E56" s="21">
        <v>0</v>
      </c>
      <c r="F56" s="21"/>
      <c r="G56" s="21">
        <v>0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>
        <v>2460</v>
      </c>
      <c r="E57" s="21">
        <v>0</v>
      </c>
      <c r="F57" s="21">
        <v>1600</v>
      </c>
      <c r="G57" s="21">
        <v>2280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6340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>
        <v>0</v>
      </c>
      <c r="E58" s="21">
        <v>0</v>
      </c>
      <c r="F58" s="21"/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>
        <v>0</v>
      </c>
      <c r="E60" s="21"/>
      <c r="F60" s="21"/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>
        <v>0</v>
      </c>
      <c r="E61" s="21">
        <v>0</v>
      </c>
      <c r="F61" s="21"/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>
        <v>0</v>
      </c>
      <c r="E62" s="21">
        <v>0</v>
      </c>
      <c r="F62" s="21"/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36381.2</v>
      </c>
      <c r="E63" s="21">
        <v>52005.71</v>
      </c>
      <c r="F63" s="21">
        <v>4674.92</v>
      </c>
      <c r="G63" s="21">
        <v>61555.66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154617.49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32882.76</v>
      </c>
      <c r="E64" s="21">
        <v>-12583.85</v>
      </c>
      <c r="F64" s="21">
        <v>63118.7</v>
      </c>
      <c r="G64" s="21">
        <v>35381.8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118799.41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205167.94</v>
      </c>
      <c r="E65" s="21">
        <v>128332.76</v>
      </c>
      <c r="F65" s="21">
        <v>461953.44</v>
      </c>
      <c r="G65" s="21">
        <v>208487.26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1003941.4</v>
      </c>
    </row>
    <row r="66" s="5" customFormat="1" ht="17.25" customHeight="1" spans="1:16">
      <c r="A66" s="42"/>
      <c r="B66" s="43" t="s">
        <v>142</v>
      </c>
      <c r="C66" s="33" t="s">
        <v>142</v>
      </c>
      <c r="D66" s="21">
        <v>0</v>
      </c>
      <c r="E66" s="21">
        <v>36106.2</v>
      </c>
      <c r="F66" s="21">
        <v>30531</v>
      </c>
      <c r="G66" s="21">
        <v>0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66637.2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v>182843.51</v>
      </c>
      <c r="E67" s="21">
        <v>-36580.2999999999</v>
      </c>
      <c r="F67" s="21">
        <v>329889.25</v>
      </c>
      <c r="G67" s="21">
        <v>363138.9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839291.36</v>
      </c>
    </row>
    <row r="68" s="5" customFormat="1" ht="17.25" customHeight="1" spans="1:16">
      <c r="A68" s="42"/>
      <c r="B68" s="37" t="s">
        <v>144</v>
      </c>
      <c r="C68" s="33" t="s">
        <v>145</v>
      </c>
      <c r="D68" s="21">
        <v>0</v>
      </c>
      <c r="E68" s="21">
        <v>0</v>
      </c>
      <c r="F68" s="21"/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>
        <v>0</v>
      </c>
      <c r="E69" s="21">
        <v>3175</v>
      </c>
      <c r="F69" s="21"/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3175</v>
      </c>
    </row>
    <row r="70" s="5" customFormat="1" ht="17.25" customHeight="1" spans="1:16">
      <c r="A70" s="42"/>
      <c r="B70" s="37" t="s">
        <v>147</v>
      </c>
      <c r="C70" s="32" t="s">
        <v>147</v>
      </c>
      <c r="D70" s="21">
        <v>0</v>
      </c>
      <c r="E70" s="21">
        <v>228.29</v>
      </c>
      <c r="F70" s="21">
        <v>804.61</v>
      </c>
      <c r="G70" s="21">
        <v>203.78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1236.68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>
        <v>0</v>
      </c>
      <c r="E74" s="21">
        <v>0</v>
      </c>
      <c r="F74" s="21"/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>
        <v>0</v>
      </c>
      <c r="E75" s="21">
        <v>0</v>
      </c>
      <c r="F75" s="21"/>
      <c r="G75" s="21">
        <v>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>
        <v>0</v>
      </c>
      <c r="E76" s="21">
        <v>0</v>
      </c>
      <c r="F76" s="21"/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>
        <v>0</v>
      </c>
      <c r="E79" s="21">
        <v>0</v>
      </c>
      <c r="F79" s="21"/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5675.70000000001</v>
      </c>
      <c r="E80" s="21">
        <v>2521.66</v>
      </c>
      <c r="F80" s="21">
        <v>63907.98</v>
      </c>
      <c r="G80" s="21">
        <v>43620.85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115726.19</v>
      </c>
    </row>
    <row r="81" s="5" customFormat="1" ht="17.25" customHeight="1" spans="1:16">
      <c r="A81" s="51"/>
      <c r="B81" s="26" t="s">
        <v>162</v>
      </c>
      <c r="C81" s="25" t="s">
        <v>162</v>
      </c>
      <c r="D81" s="21">
        <v>139.55</v>
      </c>
      <c r="E81" s="21">
        <v>0</v>
      </c>
      <c r="F81" s="21">
        <v>170.91</v>
      </c>
      <c r="G81" s="21">
        <v>420.94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731.4</v>
      </c>
    </row>
    <row r="82" s="5" customFormat="1" ht="17.25" customHeight="1" spans="1:16">
      <c r="A82" s="51"/>
      <c r="B82" s="19" t="s">
        <v>163</v>
      </c>
      <c r="C82" s="25" t="s">
        <v>164</v>
      </c>
      <c r="D82" s="21">
        <v>0</v>
      </c>
      <c r="E82" s="21">
        <v>0</v>
      </c>
      <c r="F82" s="21"/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>
        <v>0</v>
      </c>
      <c r="E83" s="21">
        <v>7769.67</v>
      </c>
      <c r="F83" s="21">
        <v>7580.09</v>
      </c>
      <c r="G83" s="21">
        <v>4706.52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20056.28</v>
      </c>
    </row>
    <row r="84" s="5" customFormat="1" ht="17.25" customHeight="1" spans="1:16">
      <c r="A84" s="51"/>
      <c r="B84" s="23"/>
      <c r="C84" s="25" t="s">
        <v>166</v>
      </c>
      <c r="D84" s="21">
        <v>0</v>
      </c>
      <c r="E84" s="21">
        <v>0</v>
      </c>
      <c r="F84" s="21"/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>
        <v>0</v>
      </c>
      <c r="E85" s="21">
        <v>0</v>
      </c>
      <c r="F85" s="21"/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>
        <v>0</v>
      </c>
      <c r="E87" s="21">
        <v>0</v>
      </c>
      <c r="F87" s="21"/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>
        <v>0</v>
      </c>
      <c r="E88" s="21">
        <v>0</v>
      </c>
      <c r="F88" s="21"/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>
        <v>0</v>
      </c>
      <c r="E89" s="21">
        <v>0</v>
      </c>
      <c r="F89" s="21"/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>
        <v>0</v>
      </c>
      <c r="E91" s="21">
        <v>0</v>
      </c>
      <c r="F91" s="21"/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27900.66</v>
      </c>
      <c r="E92" s="21">
        <f>23115.88-2.41</f>
        <v>23113.47</v>
      </c>
      <c r="F92" s="21">
        <v>27900.67</v>
      </c>
      <c r="G92" s="21">
        <v>19579.29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98494.09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2701346.69</v>
      </c>
      <c r="E93" s="58">
        <f t="shared" ref="E93:O93" si="2">SUM(E6:E92)</f>
        <v>2376114.72</v>
      </c>
      <c r="F93" s="58">
        <f t="shared" si="2"/>
        <v>2680356.06</v>
      </c>
      <c r="G93" s="58">
        <f>SUM(G6:G92)</f>
        <v>3495777.19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11253594.66</v>
      </c>
    </row>
    <row r="94" s="7" customFormat="1" ht="15" customHeight="1" spans="1:16">
      <c r="A94" s="93" t="s">
        <v>176</v>
      </c>
      <c r="B94" s="94"/>
      <c r="C94" s="95"/>
      <c r="D94" s="87">
        <v>1139343.42</v>
      </c>
      <c r="E94" s="87">
        <v>971609.354999999</v>
      </c>
      <c r="F94" s="87">
        <v>1155026.37</v>
      </c>
      <c r="G94" s="87">
        <v>1528212.745</v>
      </c>
      <c r="H94" s="21"/>
      <c r="I94" s="21"/>
      <c r="J94" s="21"/>
      <c r="K94" s="21"/>
      <c r="L94" s="21"/>
      <c r="M94" s="21"/>
      <c r="N94" s="21"/>
      <c r="O94" s="21"/>
      <c r="P94" s="47">
        <f t="shared" si="1"/>
        <v>4794191.89</v>
      </c>
    </row>
    <row r="95" s="7" customFormat="1" ht="15" customHeight="1" spans="1:16">
      <c r="A95" s="93" t="s">
        <v>177</v>
      </c>
      <c r="B95" s="94"/>
      <c r="C95" s="95"/>
      <c r="D95" s="87">
        <v>1139343.42</v>
      </c>
      <c r="E95" s="87">
        <v>971609.354999999</v>
      </c>
      <c r="F95" s="87">
        <v>1155026.37</v>
      </c>
      <c r="G95" s="87">
        <v>1528212.745</v>
      </c>
      <c r="H95" s="21"/>
      <c r="I95" s="21"/>
      <c r="J95" s="21"/>
      <c r="K95" s="21"/>
      <c r="L95" s="21"/>
      <c r="M95" s="21"/>
      <c r="N95" s="21"/>
      <c r="O95" s="21"/>
      <c r="P95" s="47">
        <f t="shared" si="1"/>
        <v>4794191.89</v>
      </c>
    </row>
    <row r="96" s="7" customFormat="1" ht="15" customHeight="1" spans="1:16">
      <c r="A96" s="93" t="s">
        <v>178</v>
      </c>
      <c r="B96" s="94"/>
      <c r="C96" s="95"/>
      <c r="D96" s="87">
        <v>0</v>
      </c>
      <c r="E96" s="87">
        <v>75989.2</v>
      </c>
      <c r="F96" s="87">
        <v>-75989.2</v>
      </c>
      <c r="G96" s="87">
        <v>-7.27595761418343e-12</v>
      </c>
      <c r="H96" s="21"/>
      <c r="I96" s="21"/>
      <c r="J96" s="21"/>
      <c r="K96" s="21"/>
      <c r="L96" s="21"/>
      <c r="M96" s="21"/>
      <c r="N96" s="21"/>
      <c r="O96" s="21"/>
      <c r="P96" s="47">
        <f t="shared" si="1"/>
        <v>-7.27595761418343e-12</v>
      </c>
    </row>
    <row r="97" s="7" customFormat="1" ht="15" customHeight="1" spans="1:16">
      <c r="A97" s="93" t="s">
        <v>180</v>
      </c>
      <c r="B97" s="94"/>
      <c r="C97" s="95"/>
      <c r="D97" s="87">
        <v>422659.85</v>
      </c>
      <c r="E97" s="87">
        <v>356906.81</v>
      </c>
      <c r="F97" s="87">
        <v>446292.52</v>
      </c>
      <c r="G97" s="87">
        <v>439351.7</v>
      </c>
      <c r="H97" s="21"/>
      <c r="I97" s="21"/>
      <c r="J97" s="21"/>
      <c r="K97" s="21"/>
      <c r="L97" s="21"/>
      <c r="M97" s="21"/>
      <c r="N97" s="21"/>
      <c r="O97" s="21"/>
      <c r="P97" s="47">
        <f t="shared" si="1"/>
        <v>1665210.88</v>
      </c>
    </row>
    <row r="98" s="8" customFormat="1" ht="16.5" customHeight="1" spans="8:9">
      <c r="H98" s="9"/>
      <c r="I98" s="9"/>
    </row>
    <row r="99" s="9" customFormat="1" ht="16.5" customHeight="1" spans="4:16">
      <c r="D99" s="64">
        <f>D93-SUM(D94:D97)</f>
        <v>0</v>
      </c>
      <c r="E99" s="64">
        <f t="shared" ref="E99:P99" si="3">E93-SUM(E94:E97)</f>
        <v>0</v>
      </c>
      <c r="F99" s="64">
        <f t="shared" si="3"/>
        <v>0</v>
      </c>
      <c r="G99" s="64">
        <f t="shared" si="3"/>
        <v>0</v>
      </c>
      <c r="H99" s="64">
        <f t="shared" si="3"/>
        <v>0</v>
      </c>
      <c r="I99" s="64">
        <f t="shared" si="3"/>
        <v>0</v>
      </c>
      <c r="J99" s="64">
        <f t="shared" si="3"/>
        <v>0</v>
      </c>
      <c r="K99" s="64">
        <f t="shared" si="3"/>
        <v>0</v>
      </c>
      <c r="L99" s="64">
        <f t="shared" si="3"/>
        <v>0</v>
      </c>
      <c r="M99" s="64">
        <f t="shared" si="3"/>
        <v>0</v>
      </c>
      <c r="N99" s="64">
        <f t="shared" si="3"/>
        <v>0</v>
      </c>
      <c r="O99" s="64">
        <f t="shared" si="3"/>
        <v>0</v>
      </c>
      <c r="P99" s="64">
        <f t="shared" si="3"/>
        <v>0</v>
      </c>
    </row>
    <row r="100" s="9" customFormat="1" spans="2:12">
      <c r="B100" s="9" t="s">
        <v>392</v>
      </c>
      <c r="E100" s="65"/>
      <c r="F100" s="65"/>
      <c r="G100" s="65"/>
      <c r="J100" s="65"/>
      <c r="K100" s="67"/>
      <c r="L100" s="67"/>
    </row>
    <row r="101" s="9" customFormat="1" spans="2:16">
      <c r="B101" s="9" t="s">
        <v>393</v>
      </c>
      <c r="P101" s="9">
        <v>19421015.75</v>
      </c>
    </row>
    <row r="102" spans="16:16">
      <c r="P102" s="68">
        <f>P101-P93</f>
        <v>8167421.09</v>
      </c>
    </row>
    <row r="103" spans="5:5">
      <c r="E103" s="68"/>
    </row>
    <row r="105" spans="6:12">
      <c r="F105" s="66"/>
      <c r="G105" s="66"/>
      <c r="L105" s="66"/>
    </row>
    <row r="106" spans="4:4">
      <c r="D106" s="96"/>
    </row>
  </sheetData>
  <mergeCells count="36">
    <mergeCell ref="A1:N1"/>
    <mergeCell ref="D4:O4"/>
    <mergeCell ref="A93:C93"/>
    <mergeCell ref="A94:C94"/>
    <mergeCell ref="A95:C95"/>
    <mergeCell ref="A96:C96"/>
    <mergeCell ref="A97:C97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99:P99"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  <cfRule type="cellIs" dxfId="0" priority="9" stopIfTrue="1" operator="equal">
      <formula>"no"</formula>
    </cfRule>
  </conditionalFormatting>
  <conditionalFormatting sqref="J34:L34 A34:C34 O34:XFD34 F34:G34">
    <cfRule type="cellIs" dxfId="0" priority="14" stopIfTrue="1" operator="equal">
      <formula>"no"</formula>
    </cfRule>
  </conditionalFormatting>
  <conditionalFormatting sqref="A98:G98 J98:IV98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T106"/>
  <sheetViews>
    <sheetView workbookViewId="0">
      <pane xSplit="3" ySplit="5" topLeftCell="D75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6.125" style="10" customWidth="1"/>
    <col min="2" max="2" width="11.375" style="10" customWidth="1"/>
    <col min="3" max="3" width="11.625" style="10" customWidth="1"/>
    <col min="4" max="4" width="13.5" style="10" customWidth="1"/>
    <col min="5" max="5" width="16.125" style="10" customWidth="1"/>
    <col min="6" max="6" width="17.25" style="10" customWidth="1"/>
    <col min="7" max="7" width="16.25" style="80" customWidth="1"/>
    <col min="8" max="8" width="16.25" style="10" customWidth="1"/>
    <col min="9" max="9" width="13.5" style="10" customWidth="1"/>
    <col min="10" max="10" width="13.875" style="10" customWidth="1"/>
    <col min="11" max="11" width="14.375" style="10" customWidth="1"/>
    <col min="12" max="12" width="13.75" style="10" customWidth="1"/>
    <col min="13" max="13" width="15.625" style="10" customWidth="1"/>
    <col min="14" max="15" width="14.75" style="10" customWidth="1"/>
    <col min="16" max="16" width="16.75" style="10" customWidth="1"/>
    <col min="17" max="17" width="19" style="10" customWidth="1"/>
    <col min="18" max="18" width="13" style="10" customWidth="1"/>
    <col min="19" max="19" width="18.25" style="10" customWidth="1"/>
    <col min="20" max="16384" width="9" style="10"/>
  </cols>
  <sheetData>
    <row r="1" s="1" customFormat="1" ht="28.5" customHeight="1" spans="1:16">
      <c r="A1" s="81" t="s">
        <v>409</v>
      </c>
      <c r="B1" s="81"/>
      <c r="C1" s="81"/>
      <c r="D1" s="81"/>
      <c r="E1" s="81"/>
      <c r="F1" s="81"/>
      <c r="G1" s="82"/>
      <c r="H1" s="81"/>
      <c r="I1" s="81"/>
      <c r="J1" s="81"/>
      <c r="K1" s="81"/>
      <c r="L1" s="81"/>
      <c r="M1" s="81"/>
      <c r="N1" s="81"/>
      <c r="O1" s="81"/>
      <c r="P1" s="81"/>
    </row>
    <row r="2" s="78" customFormat="1" ht="18" customHeight="1" spans="1:7">
      <c r="A2" s="78" t="s">
        <v>372</v>
      </c>
      <c r="F2" s="83"/>
      <c r="G2" s="84"/>
    </row>
    <row r="3" s="79" customFormat="1" ht="15" customHeight="1" spans="1:16">
      <c r="A3" s="12" t="str">
        <f>'G-高新'!A3</f>
        <v>编制期间：2020年4月</v>
      </c>
      <c r="B3" s="3"/>
      <c r="C3" s="3"/>
      <c r="D3" s="3"/>
      <c r="E3" s="3"/>
      <c r="F3" s="85"/>
      <c r="G3" s="13"/>
      <c r="H3" s="13"/>
      <c r="I3" s="3"/>
      <c r="J3" s="3"/>
      <c r="K3" s="3"/>
      <c r="L3" s="13"/>
      <c r="M3" s="13"/>
      <c r="N3" s="3"/>
      <c r="O3" s="3"/>
      <c r="P3" s="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8" customHeight="1" spans="1:20">
      <c r="A6" s="18" t="s">
        <v>69</v>
      </c>
      <c r="B6" s="19" t="s">
        <v>70</v>
      </c>
      <c r="C6" s="20" t="s">
        <v>70</v>
      </c>
      <c r="D6" s="21">
        <v>4814654.09</v>
      </c>
      <c r="E6" s="21">
        <v>4507059.98</v>
      </c>
      <c r="F6" s="21">
        <v>4752439.88</v>
      </c>
      <c r="G6" s="21">
        <v>6230446.62</v>
      </c>
      <c r="H6" s="21"/>
      <c r="I6" s="21"/>
      <c r="J6" s="21"/>
      <c r="K6" s="46"/>
      <c r="L6" s="21"/>
      <c r="M6" s="21"/>
      <c r="N6" s="21"/>
      <c r="O6" s="21"/>
      <c r="P6" s="47">
        <f>SUM(D6:O6)</f>
        <v>20304600.57</v>
      </c>
      <c r="Q6" s="48"/>
      <c r="R6" s="86"/>
      <c r="S6" s="48"/>
      <c r="T6" s="48"/>
    </row>
    <row r="7" s="5" customFormat="1" ht="18" customHeight="1" spans="1:20">
      <c r="A7" s="22"/>
      <c r="B7" s="23"/>
      <c r="C7" s="20" t="s">
        <v>71</v>
      </c>
      <c r="D7" s="21">
        <v>369489.49</v>
      </c>
      <c r="E7" s="21">
        <v>242161.04</v>
      </c>
      <c r="F7" s="21">
        <v>272592.3</v>
      </c>
      <c r="G7" s="21">
        <v>293773.18</v>
      </c>
      <c r="H7" s="21"/>
      <c r="I7" s="21"/>
      <c r="J7" s="21"/>
      <c r="K7" s="46"/>
      <c r="L7" s="21"/>
      <c r="M7" s="21"/>
      <c r="N7" s="21"/>
      <c r="O7" s="21"/>
      <c r="P7" s="47">
        <f t="shared" ref="P7:P70" si="0">SUM(D7:O7)</f>
        <v>1178016.01</v>
      </c>
      <c r="Q7" s="48"/>
      <c r="R7" s="86"/>
      <c r="S7" s="48"/>
      <c r="T7" s="48"/>
    </row>
    <row r="8" s="5" customFormat="1" ht="18" customHeight="1" spans="1:20">
      <c r="A8" s="22"/>
      <c r="B8" s="19" t="s">
        <v>72</v>
      </c>
      <c r="C8" s="20" t="s">
        <v>72</v>
      </c>
      <c r="D8" s="21">
        <v>97301.13</v>
      </c>
      <c r="E8" s="21">
        <v>76248.76</v>
      </c>
      <c r="F8" s="21">
        <v>247573.52</v>
      </c>
      <c r="G8" s="21">
        <v>-1.26760824059602e-11</v>
      </c>
      <c r="H8" s="21"/>
      <c r="I8" s="21"/>
      <c r="J8" s="21"/>
      <c r="K8" s="46"/>
      <c r="L8" s="21"/>
      <c r="M8" s="21"/>
      <c r="N8" s="21"/>
      <c r="O8" s="21"/>
      <c r="P8" s="47">
        <f t="shared" si="0"/>
        <v>421123.41</v>
      </c>
      <c r="Q8" s="48"/>
      <c r="R8" s="86"/>
      <c r="S8" s="48"/>
      <c r="T8" s="48"/>
    </row>
    <row r="9" s="5" customFormat="1" ht="18" customHeight="1" spans="1:20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21"/>
      <c r="J9" s="21"/>
      <c r="K9" s="46"/>
      <c r="L9" s="21"/>
      <c r="M9" s="21"/>
      <c r="N9" s="21"/>
      <c r="O9" s="21"/>
      <c r="P9" s="47">
        <f t="shared" si="0"/>
        <v>0</v>
      </c>
      <c r="Q9" s="48"/>
      <c r="R9" s="86"/>
      <c r="S9" s="48"/>
      <c r="T9" s="48"/>
    </row>
    <row r="10" s="5" customFormat="1" ht="18" customHeight="1" spans="1:20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21"/>
      <c r="J10" s="21"/>
      <c r="K10" s="46"/>
      <c r="L10" s="21"/>
      <c r="M10" s="21"/>
      <c r="N10" s="21"/>
      <c r="O10" s="21"/>
      <c r="P10" s="47">
        <f t="shared" si="0"/>
        <v>0</v>
      </c>
      <c r="Q10" s="48"/>
      <c r="R10" s="86"/>
      <c r="S10" s="48"/>
      <c r="T10" s="48"/>
    </row>
    <row r="11" s="5" customFormat="1" ht="18" customHeight="1" spans="1:20">
      <c r="A11" s="22"/>
      <c r="B11" s="24"/>
      <c r="C11" s="25" t="s">
        <v>76</v>
      </c>
      <c r="D11" s="21">
        <v>5202.96</v>
      </c>
      <c r="E11" s="21">
        <v>0</v>
      </c>
      <c r="F11" s="21">
        <v>1758</v>
      </c>
      <c r="G11" s="21">
        <v>105</v>
      </c>
      <c r="H11" s="21"/>
      <c r="I11" s="21"/>
      <c r="J11" s="21"/>
      <c r="K11" s="46"/>
      <c r="L11" s="21"/>
      <c r="M11" s="21"/>
      <c r="N11" s="21"/>
      <c r="O11" s="21"/>
      <c r="P11" s="47">
        <f t="shared" si="0"/>
        <v>7065.96</v>
      </c>
      <c r="Q11" s="48"/>
      <c r="R11" s="86"/>
      <c r="S11" s="48"/>
      <c r="T11" s="48"/>
    </row>
    <row r="12" s="5" customFormat="1" ht="18" customHeight="1" spans="1:20">
      <c r="A12" s="22"/>
      <c r="B12" s="24"/>
      <c r="C12" s="20" t="s">
        <v>77</v>
      </c>
      <c r="D12" s="21">
        <v>0</v>
      </c>
      <c r="E12" s="21">
        <v>0</v>
      </c>
      <c r="F12" s="21">
        <v>0</v>
      </c>
      <c r="G12" s="21">
        <v>0</v>
      </c>
      <c r="H12" s="21"/>
      <c r="I12" s="21"/>
      <c r="J12" s="21"/>
      <c r="K12" s="46"/>
      <c r="L12" s="21"/>
      <c r="M12" s="21"/>
      <c r="N12" s="21"/>
      <c r="O12" s="21"/>
      <c r="P12" s="47">
        <f t="shared" si="0"/>
        <v>0</v>
      </c>
      <c r="Q12" s="48"/>
      <c r="R12" s="86"/>
      <c r="S12" s="48"/>
      <c r="T12" s="48"/>
    </row>
    <row r="13" s="5" customFormat="1" ht="18" customHeight="1" spans="1:20">
      <c r="A13" s="22"/>
      <c r="B13" s="24"/>
      <c r="C13" s="25" t="s">
        <v>78</v>
      </c>
      <c r="D13" s="21">
        <v>0</v>
      </c>
      <c r="E13" s="21">
        <v>0</v>
      </c>
      <c r="F13" s="21">
        <v>0</v>
      </c>
      <c r="G13" s="21">
        <v>898.86</v>
      </c>
      <c r="H13" s="21"/>
      <c r="I13" s="21"/>
      <c r="J13" s="21"/>
      <c r="K13" s="46"/>
      <c r="L13" s="21"/>
      <c r="M13" s="21"/>
      <c r="N13" s="21"/>
      <c r="O13" s="21"/>
      <c r="P13" s="47">
        <f t="shared" si="0"/>
        <v>898.86</v>
      </c>
      <c r="Q13" s="48"/>
      <c r="R13" s="86"/>
      <c r="S13" s="48"/>
      <c r="T13" s="48"/>
    </row>
    <row r="14" s="5" customFormat="1" ht="19.5" customHeight="1" spans="1:20">
      <c r="A14" s="22"/>
      <c r="B14" s="24"/>
      <c r="C14" s="20" t="s">
        <v>79</v>
      </c>
      <c r="D14" s="21">
        <v>6000</v>
      </c>
      <c r="E14" s="21">
        <v>156800</v>
      </c>
      <c r="F14" s="21">
        <v>8900</v>
      </c>
      <c r="G14" s="21">
        <v>19650</v>
      </c>
      <c r="H14" s="21"/>
      <c r="I14" s="21"/>
      <c r="J14" s="21"/>
      <c r="K14" s="46"/>
      <c r="L14" s="21"/>
      <c r="M14" s="21"/>
      <c r="N14" s="21"/>
      <c r="O14" s="21"/>
      <c r="P14" s="47">
        <f t="shared" si="0"/>
        <v>191350</v>
      </c>
      <c r="Q14" s="48"/>
      <c r="R14" s="86"/>
      <c r="S14" s="48"/>
      <c r="T14" s="48"/>
    </row>
    <row r="15" s="5" customFormat="1" ht="18" customHeight="1" spans="1:20">
      <c r="A15" s="22"/>
      <c r="B15" s="24"/>
      <c r="C15" s="25" t="s">
        <v>80</v>
      </c>
      <c r="D15" s="21">
        <v>0</v>
      </c>
      <c r="E15" s="21">
        <v>0</v>
      </c>
      <c r="F15" s="21">
        <v>0</v>
      </c>
      <c r="G15" s="21">
        <v>0</v>
      </c>
      <c r="H15" s="21"/>
      <c r="I15" s="21"/>
      <c r="J15" s="21"/>
      <c r="K15" s="46"/>
      <c r="L15" s="21"/>
      <c r="M15" s="21"/>
      <c r="N15" s="21"/>
      <c r="O15" s="21"/>
      <c r="P15" s="47">
        <f t="shared" si="0"/>
        <v>0</v>
      </c>
      <c r="Q15" s="48"/>
      <c r="R15" s="86"/>
      <c r="S15" s="48"/>
      <c r="T15" s="48"/>
    </row>
    <row r="16" s="5" customFormat="1" ht="18" customHeight="1" spans="1:20">
      <c r="A16" s="22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46"/>
      <c r="L16" s="21"/>
      <c r="M16" s="21"/>
      <c r="N16" s="21"/>
      <c r="O16" s="21"/>
      <c r="P16" s="47">
        <f t="shared" si="0"/>
        <v>0</v>
      </c>
      <c r="Q16" s="48"/>
      <c r="R16" s="86"/>
      <c r="S16" s="48"/>
      <c r="T16" s="48"/>
    </row>
    <row r="17" s="5" customFormat="1" ht="18" customHeight="1" spans="1:20">
      <c r="A17" s="22"/>
      <c r="B17" s="24"/>
      <c r="C17" s="25" t="s">
        <v>82</v>
      </c>
      <c r="D17" s="21">
        <v>0</v>
      </c>
      <c r="E17" s="21">
        <v>0</v>
      </c>
      <c r="F17" s="21">
        <v>0</v>
      </c>
      <c r="G17" s="21">
        <v>0</v>
      </c>
      <c r="H17" s="21"/>
      <c r="I17" s="21"/>
      <c r="J17" s="21"/>
      <c r="K17" s="46"/>
      <c r="L17" s="21"/>
      <c r="M17" s="21"/>
      <c r="N17" s="21"/>
      <c r="O17" s="21"/>
      <c r="P17" s="47">
        <f t="shared" si="0"/>
        <v>0</v>
      </c>
      <c r="Q17" s="48"/>
      <c r="R17" s="86"/>
      <c r="S17" s="48"/>
      <c r="T17" s="48"/>
    </row>
    <row r="18" s="5" customFormat="1" ht="18" customHeight="1" spans="1:20">
      <c r="A18" s="22"/>
      <c r="B18" s="23"/>
      <c r="C18" s="25" t="s">
        <v>83</v>
      </c>
      <c r="D18" s="21">
        <v>0</v>
      </c>
      <c r="E18" s="21">
        <v>0</v>
      </c>
      <c r="F18" s="21"/>
      <c r="G18" s="21">
        <v>1500</v>
      </c>
      <c r="H18" s="21"/>
      <c r="I18" s="21"/>
      <c r="J18" s="21"/>
      <c r="K18" s="46"/>
      <c r="L18" s="21"/>
      <c r="M18" s="21"/>
      <c r="N18" s="21"/>
      <c r="O18" s="21"/>
      <c r="P18" s="47">
        <f t="shared" si="0"/>
        <v>1500</v>
      </c>
      <c r="Q18" s="48"/>
      <c r="R18" s="86"/>
      <c r="S18" s="48"/>
      <c r="T18" s="48"/>
    </row>
    <row r="19" s="5" customFormat="1" ht="18" customHeight="1" spans="1:20">
      <c r="A19" s="22"/>
      <c r="B19" s="26" t="s">
        <v>84</v>
      </c>
      <c r="C19" s="25" t="s">
        <v>84</v>
      </c>
      <c r="D19" s="21">
        <v>172607</v>
      </c>
      <c r="E19" s="21">
        <v>172518</v>
      </c>
      <c r="F19" s="21">
        <v>174758</v>
      </c>
      <c r="G19" s="21">
        <v>178323</v>
      </c>
      <c r="H19" s="21"/>
      <c r="I19" s="21"/>
      <c r="J19" s="21"/>
      <c r="K19" s="46"/>
      <c r="L19" s="21"/>
      <c r="M19" s="21"/>
      <c r="N19" s="21"/>
      <c r="O19" s="21"/>
      <c r="P19" s="47">
        <f t="shared" si="0"/>
        <v>698206</v>
      </c>
      <c r="Q19" s="48"/>
      <c r="R19" s="86"/>
      <c r="S19" s="48"/>
      <c r="T19" s="48"/>
    </row>
    <row r="20" s="5" customFormat="1" ht="18" customHeight="1" spans="1:20">
      <c r="A20" s="22"/>
      <c r="B20" s="19" t="s">
        <v>85</v>
      </c>
      <c r="C20" s="20" t="s">
        <v>85</v>
      </c>
      <c r="D20" s="21">
        <v>0</v>
      </c>
      <c r="E20" s="21">
        <v>0</v>
      </c>
      <c r="F20" s="21">
        <v>0</v>
      </c>
      <c r="G20" s="21">
        <v>0</v>
      </c>
      <c r="H20" s="21"/>
      <c r="I20" s="21"/>
      <c r="J20" s="21"/>
      <c r="K20" s="46"/>
      <c r="L20" s="21"/>
      <c r="M20" s="21"/>
      <c r="N20" s="21"/>
      <c r="O20" s="21"/>
      <c r="P20" s="47">
        <f t="shared" si="0"/>
        <v>0</v>
      </c>
      <c r="Q20" s="48"/>
      <c r="R20" s="86"/>
      <c r="S20" s="48"/>
      <c r="T20" s="48"/>
    </row>
    <row r="21" s="5" customFormat="1" ht="18" customHeight="1" spans="1:20">
      <c r="A21" s="22"/>
      <c r="B21" s="19" t="s">
        <v>86</v>
      </c>
      <c r="C21" s="20" t="s">
        <v>86</v>
      </c>
      <c r="D21" s="21">
        <v>0</v>
      </c>
      <c r="E21" s="21">
        <v>0</v>
      </c>
      <c r="F21" s="21">
        <v>0</v>
      </c>
      <c r="G21" s="21">
        <v>0</v>
      </c>
      <c r="H21" s="21"/>
      <c r="I21" s="21"/>
      <c r="J21" s="21"/>
      <c r="K21" s="46"/>
      <c r="L21" s="21"/>
      <c r="M21" s="21"/>
      <c r="N21" s="21"/>
      <c r="O21" s="21"/>
      <c r="P21" s="47">
        <f t="shared" si="0"/>
        <v>0</v>
      </c>
      <c r="Q21" s="48"/>
      <c r="R21" s="86"/>
      <c r="S21" s="48"/>
      <c r="T21" s="48"/>
    </row>
    <row r="22" s="5" customFormat="1" ht="18" customHeight="1" spans="1:20">
      <c r="A22" s="22"/>
      <c r="B22" s="19" t="s">
        <v>87</v>
      </c>
      <c r="C22" s="25" t="s">
        <v>88</v>
      </c>
      <c r="D22" s="21">
        <v>387960.32</v>
      </c>
      <c r="E22" s="21">
        <v>394781.12</v>
      </c>
      <c r="F22" s="21">
        <v>-182300.64</v>
      </c>
      <c r="G22" s="21">
        <v>201525.12</v>
      </c>
      <c r="H22" s="21"/>
      <c r="I22" s="21"/>
      <c r="J22" s="21"/>
      <c r="K22" s="46"/>
      <c r="L22" s="21"/>
      <c r="M22" s="21"/>
      <c r="N22" s="21"/>
      <c r="O22" s="21"/>
      <c r="P22" s="47">
        <f t="shared" si="0"/>
        <v>801965.92</v>
      </c>
      <c r="Q22" s="48"/>
      <c r="R22" s="86"/>
      <c r="S22" s="48"/>
      <c r="T22" s="48"/>
    </row>
    <row r="23" s="5" customFormat="1" ht="18" customHeight="1" spans="1:20">
      <c r="A23" s="22"/>
      <c r="B23" s="24"/>
      <c r="C23" s="25" t="s">
        <v>89</v>
      </c>
      <c r="D23" s="21">
        <v>12095.34</v>
      </c>
      <c r="E23" s="21">
        <v>12407.96</v>
      </c>
      <c r="F23" s="21">
        <v>244.2</v>
      </c>
      <c r="G23" s="21">
        <v>-5625.28</v>
      </c>
      <c r="H23" s="21"/>
      <c r="I23" s="21"/>
      <c r="J23" s="21"/>
      <c r="K23" s="46"/>
      <c r="L23" s="21"/>
      <c r="M23" s="21"/>
      <c r="N23" s="21"/>
      <c r="O23" s="21"/>
      <c r="P23" s="47">
        <f t="shared" si="0"/>
        <v>19122.22</v>
      </c>
      <c r="Q23" s="48"/>
      <c r="R23" s="86"/>
      <c r="S23" s="48"/>
      <c r="T23" s="48"/>
    </row>
    <row r="24" s="5" customFormat="1" spans="1:20">
      <c r="A24" s="22"/>
      <c r="B24" s="24"/>
      <c r="C24" s="25" t="s">
        <v>90</v>
      </c>
      <c r="D24" s="21">
        <v>11908.82</v>
      </c>
      <c r="E24" s="21">
        <v>12187.82</v>
      </c>
      <c r="F24" s="21">
        <v>-2177.14</v>
      </c>
      <c r="G24" s="21">
        <v>7974.84</v>
      </c>
      <c r="H24" s="21"/>
      <c r="I24" s="21"/>
      <c r="J24" s="21"/>
      <c r="K24" s="46"/>
      <c r="L24" s="21"/>
      <c r="M24" s="21"/>
      <c r="N24" s="21"/>
      <c r="O24" s="21"/>
      <c r="P24" s="47">
        <f t="shared" si="0"/>
        <v>29894.34</v>
      </c>
      <c r="Q24" s="48"/>
      <c r="R24" s="86"/>
      <c r="S24" s="48"/>
      <c r="T24" s="48"/>
    </row>
    <row r="25" s="5" customFormat="1" ht="18" customHeight="1" spans="1:20">
      <c r="A25" s="22"/>
      <c r="B25" s="24"/>
      <c r="C25" s="25" t="s">
        <v>91</v>
      </c>
      <c r="D25" s="21">
        <v>208942.79</v>
      </c>
      <c r="E25" s="21">
        <v>202124.24</v>
      </c>
      <c r="F25" s="21">
        <v>201646.11</v>
      </c>
      <c r="G25" s="21">
        <v>20121.91</v>
      </c>
      <c r="H25" s="21"/>
      <c r="I25" s="21"/>
      <c r="J25" s="21"/>
      <c r="K25" s="46"/>
      <c r="L25" s="21"/>
      <c r="M25" s="21"/>
      <c r="N25" s="21"/>
      <c r="O25" s="21"/>
      <c r="P25" s="47">
        <f t="shared" si="0"/>
        <v>632835.05</v>
      </c>
      <c r="Q25" s="48"/>
      <c r="R25" s="86"/>
      <c r="S25" s="48"/>
      <c r="T25" s="48"/>
    </row>
    <row r="26" s="5" customFormat="1" ht="18" customHeight="1" spans="1:20">
      <c r="A26" s="22"/>
      <c r="B26" s="23"/>
      <c r="C26" s="25" t="s">
        <v>92</v>
      </c>
      <c r="D26" s="21">
        <v>26929.23</v>
      </c>
      <c r="E26" s="21">
        <v>26213.9</v>
      </c>
      <c r="F26" s="21">
        <v>26190.96</v>
      </c>
      <c r="G26" s="21">
        <v>1775.96</v>
      </c>
      <c r="H26" s="21"/>
      <c r="I26" s="21"/>
      <c r="J26" s="21"/>
      <c r="K26" s="46"/>
      <c r="L26" s="21"/>
      <c r="M26" s="21"/>
      <c r="N26" s="21"/>
      <c r="O26" s="21"/>
      <c r="P26" s="47">
        <f t="shared" si="0"/>
        <v>81110.05</v>
      </c>
      <c r="Q26" s="48"/>
      <c r="R26" s="86"/>
      <c r="S26" s="48"/>
      <c r="T26" s="48"/>
    </row>
    <row r="27" s="5" customFormat="1" ht="15" customHeight="1" spans="1:20">
      <c r="A27" s="22"/>
      <c r="B27" s="19" t="s">
        <v>93</v>
      </c>
      <c r="C27" s="20" t="s">
        <v>93</v>
      </c>
      <c r="D27" s="21">
        <v>0</v>
      </c>
      <c r="E27" s="21">
        <v>0</v>
      </c>
      <c r="F27" s="21">
        <v>0</v>
      </c>
      <c r="G27" s="21">
        <v>0</v>
      </c>
      <c r="H27" s="21"/>
      <c r="I27" s="21"/>
      <c r="J27" s="21"/>
      <c r="K27" s="46"/>
      <c r="L27" s="21"/>
      <c r="M27" s="21"/>
      <c r="N27" s="21"/>
      <c r="O27" s="21"/>
      <c r="P27" s="47">
        <f t="shared" si="0"/>
        <v>0</v>
      </c>
      <c r="Q27" s="48"/>
      <c r="R27" s="86"/>
      <c r="S27" s="48"/>
      <c r="T27" s="48"/>
    </row>
    <row r="28" s="5" customFormat="1" ht="15" customHeight="1" spans="1:20">
      <c r="A28" s="27" t="s">
        <v>94</v>
      </c>
      <c r="B28" s="19" t="s">
        <v>95</v>
      </c>
      <c r="C28" s="25" t="s">
        <v>96</v>
      </c>
      <c r="D28" s="21">
        <v>0</v>
      </c>
      <c r="E28" s="21">
        <v>0</v>
      </c>
      <c r="F28" s="21">
        <v>0</v>
      </c>
      <c r="G28" s="21">
        <v>0</v>
      </c>
      <c r="H28" s="21"/>
      <c r="I28" s="21"/>
      <c r="J28" s="21"/>
      <c r="K28" s="46"/>
      <c r="L28" s="21"/>
      <c r="M28" s="21"/>
      <c r="N28" s="21"/>
      <c r="O28" s="21"/>
      <c r="P28" s="47">
        <f t="shared" si="0"/>
        <v>0</v>
      </c>
      <c r="Q28" s="48"/>
      <c r="R28" s="86"/>
      <c r="S28" s="48"/>
      <c r="T28" s="48"/>
    </row>
    <row r="29" s="5" customFormat="1" ht="15" customHeight="1" spans="1:20">
      <c r="A29" s="28"/>
      <c r="B29" s="23"/>
      <c r="C29" s="20" t="s">
        <v>97</v>
      </c>
      <c r="D29" s="21">
        <v>0</v>
      </c>
      <c r="E29" s="21">
        <v>0</v>
      </c>
      <c r="F29" s="21">
        <v>10270.65</v>
      </c>
      <c r="G29" s="21">
        <v>19535.4</v>
      </c>
      <c r="H29" s="21"/>
      <c r="I29" s="21"/>
      <c r="J29" s="21"/>
      <c r="K29" s="46"/>
      <c r="L29" s="21"/>
      <c r="M29" s="21"/>
      <c r="N29" s="21"/>
      <c r="O29" s="21"/>
      <c r="P29" s="47">
        <f t="shared" si="0"/>
        <v>29806.05</v>
      </c>
      <c r="Q29" s="48"/>
      <c r="R29" s="86"/>
      <c r="S29" s="48"/>
      <c r="T29" s="48"/>
    </row>
    <row r="30" s="5" customFormat="1" ht="15" customHeight="1" spans="1:20">
      <c r="A30" s="28"/>
      <c r="B30" s="26" t="s">
        <v>98</v>
      </c>
      <c r="C30" s="25" t="s">
        <v>98</v>
      </c>
      <c r="D30" s="21">
        <v>0</v>
      </c>
      <c r="E30" s="21">
        <v>51930.18</v>
      </c>
      <c r="F30" s="21">
        <v>1342.25</v>
      </c>
      <c r="G30" s="21">
        <v>24663.99</v>
      </c>
      <c r="H30" s="21"/>
      <c r="I30" s="21"/>
      <c r="J30" s="21"/>
      <c r="K30" s="46"/>
      <c r="L30" s="21"/>
      <c r="M30" s="21"/>
      <c r="N30" s="21"/>
      <c r="O30" s="21"/>
      <c r="P30" s="47">
        <f t="shared" si="0"/>
        <v>77936.42</v>
      </c>
      <c r="Q30" s="48"/>
      <c r="R30" s="86"/>
      <c r="S30" s="48"/>
      <c r="T30" s="48"/>
    </row>
    <row r="31" s="5" customFormat="1" ht="15" customHeight="1" spans="1:20">
      <c r="A31" s="28"/>
      <c r="B31" s="19" t="s">
        <v>99</v>
      </c>
      <c r="C31" s="25" t="s">
        <v>100</v>
      </c>
      <c r="D31" s="21">
        <v>0</v>
      </c>
      <c r="E31" s="21">
        <v>0</v>
      </c>
      <c r="F31" s="21">
        <v>0</v>
      </c>
      <c r="G31" s="21">
        <v>0</v>
      </c>
      <c r="H31" s="21"/>
      <c r="I31" s="21"/>
      <c r="J31" s="21"/>
      <c r="K31" s="46"/>
      <c r="L31" s="21"/>
      <c r="M31" s="21"/>
      <c r="N31" s="21"/>
      <c r="O31" s="21"/>
      <c r="P31" s="47">
        <f t="shared" si="0"/>
        <v>0</v>
      </c>
      <c r="Q31" s="48"/>
      <c r="R31" s="86"/>
      <c r="S31" s="48"/>
      <c r="T31" s="48"/>
    </row>
    <row r="32" s="5" customFormat="1" ht="19.5" customHeight="1" spans="1:20">
      <c r="A32" s="28"/>
      <c r="B32" s="24"/>
      <c r="C32" s="25" t="s">
        <v>101</v>
      </c>
      <c r="D32" s="21">
        <v>0</v>
      </c>
      <c r="E32" s="21">
        <v>0</v>
      </c>
      <c r="F32" s="21">
        <v>0</v>
      </c>
      <c r="G32" s="21">
        <v>0</v>
      </c>
      <c r="H32" s="21"/>
      <c r="I32" s="21"/>
      <c r="J32" s="21"/>
      <c r="K32" s="46"/>
      <c r="L32" s="21"/>
      <c r="M32" s="21"/>
      <c r="N32" s="21"/>
      <c r="O32" s="21"/>
      <c r="P32" s="47">
        <f t="shared" si="0"/>
        <v>0</v>
      </c>
      <c r="Q32" s="48"/>
      <c r="R32" s="86"/>
      <c r="S32" s="48"/>
      <c r="T32" s="48"/>
    </row>
    <row r="33" s="5" customFormat="1" spans="1:20">
      <c r="A33" s="28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21"/>
      <c r="J33" s="21"/>
      <c r="K33" s="46"/>
      <c r="L33" s="21"/>
      <c r="M33" s="21"/>
      <c r="N33" s="21"/>
      <c r="O33" s="21"/>
      <c r="P33" s="47">
        <f t="shared" si="0"/>
        <v>0</v>
      </c>
      <c r="Q33" s="48"/>
      <c r="R33" s="86"/>
      <c r="S33" s="48"/>
      <c r="T33" s="48"/>
    </row>
    <row r="34" s="5" customFormat="1" spans="1:20">
      <c r="A34" s="28"/>
      <c r="B34" s="19" t="s">
        <v>103</v>
      </c>
      <c r="C34" s="25" t="s">
        <v>104</v>
      </c>
      <c r="D34" s="21">
        <v>1665.66</v>
      </c>
      <c r="E34" s="21">
        <v>1280.5</v>
      </c>
      <c r="F34" s="21">
        <v>13485.88</v>
      </c>
      <c r="G34" s="21">
        <v>11811.19</v>
      </c>
      <c r="H34" s="21"/>
      <c r="I34" s="21"/>
      <c r="J34" s="21"/>
      <c r="K34" s="46"/>
      <c r="L34" s="21"/>
      <c r="M34" s="21"/>
      <c r="N34" s="21"/>
      <c r="O34" s="21"/>
      <c r="P34" s="47">
        <f t="shared" si="0"/>
        <v>28243.23</v>
      </c>
      <c r="Q34" s="48"/>
      <c r="R34" s="86"/>
      <c r="S34" s="48"/>
      <c r="T34" s="48"/>
    </row>
    <row r="35" s="5" customFormat="1" spans="1:20">
      <c r="A35" s="28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46"/>
      <c r="L35" s="21"/>
      <c r="M35" s="21"/>
      <c r="N35" s="21"/>
      <c r="O35" s="21"/>
      <c r="P35" s="47">
        <f t="shared" si="0"/>
        <v>0</v>
      </c>
      <c r="Q35" s="48"/>
      <c r="R35" s="86"/>
      <c r="S35" s="48"/>
      <c r="T35" s="48"/>
    </row>
    <row r="36" s="5" customFormat="1" spans="1:20">
      <c r="A36" s="28"/>
      <c r="B36" s="26" t="s">
        <v>106</v>
      </c>
      <c r="C36" s="25" t="s">
        <v>106</v>
      </c>
      <c r="D36" s="21">
        <v>1000</v>
      </c>
      <c r="E36" s="21">
        <v>1000</v>
      </c>
      <c r="F36" s="21">
        <v>1810</v>
      </c>
      <c r="G36" s="21">
        <v>5115</v>
      </c>
      <c r="H36" s="21"/>
      <c r="I36" s="21"/>
      <c r="J36" s="21"/>
      <c r="K36" s="46"/>
      <c r="L36" s="21"/>
      <c r="M36" s="21"/>
      <c r="N36" s="21"/>
      <c r="O36" s="21"/>
      <c r="P36" s="47">
        <f t="shared" si="0"/>
        <v>8925</v>
      </c>
      <c r="Q36" s="48"/>
      <c r="R36" s="86"/>
      <c r="S36" s="48"/>
      <c r="T36" s="48"/>
    </row>
    <row r="37" s="5" customFormat="1" spans="1:20">
      <c r="A37" s="28"/>
      <c r="B37" s="26" t="s">
        <v>107</v>
      </c>
      <c r="C37" s="25" t="s">
        <v>107</v>
      </c>
      <c r="D37" s="21">
        <v>0</v>
      </c>
      <c r="E37" s="21">
        <v>480</v>
      </c>
      <c r="F37" s="21">
        <v>1243</v>
      </c>
      <c r="G37" s="21">
        <v>8372</v>
      </c>
      <c r="H37" s="21"/>
      <c r="I37" s="21"/>
      <c r="J37" s="21"/>
      <c r="K37" s="46"/>
      <c r="L37" s="21"/>
      <c r="M37" s="21"/>
      <c r="N37" s="21"/>
      <c r="O37" s="21"/>
      <c r="P37" s="47">
        <f t="shared" si="0"/>
        <v>10095</v>
      </c>
      <c r="Q37" s="48"/>
      <c r="R37" s="86"/>
      <c r="S37" s="48"/>
      <c r="T37" s="48"/>
    </row>
    <row r="38" s="5" customFormat="1" spans="1:20">
      <c r="A38" s="28"/>
      <c r="B38" s="19" t="s">
        <v>108</v>
      </c>
      <c r="C38" s="25" t="s">
        <v>109</v>
      </c>
      <c r="D38" s="21">
        <v>0</v>
      </c>
      <c r="E38" s="21">
        <v>0</v>
      </c>
      <c r="F38" s="21">
        <v>0</v>
      </c>
      <c r="G38" s="21">
        <v>0</v>
      </c>
      <c r="H38" s="21"/>
      <c r="I38" s="21"/>
      <c r="J38" s="21"/>
      <c r="K38" s="46"/>
      <c r="L38" s="21"/>
      <c r="M38" s="21"/>
      <c r="N38" s="21"/>
      <c r="O38" s="21"/>
      <c r="P38" s="47">
        <f t="shared" si="0"/>
        <v>0</v>
      </c>
      <c r="Q38" s="48"/>
      <c r="R38" s="86"/>
      <c r="S38" s="48"/>
      <c r="T38" s="48"/>
    </row>
    <row r="39" s="5" customFormat="1" spans="1:20">
      <c r="A39" s="28"/>
      <c r="B39" s="23"/>
      <c r="C39" s="25" t="s">
        <v>110</v>
      </c>
      <c r="D39" s="21">
        <v>3641.5</v>
      </c>
      <c r="E39" s="21">
        <v>0</v>
      </c>
      <c r="F39" s="21">
        <v>353.4</v>
      </c>
      <c r="G39" s="21">
        <v>-1214.9</v>
      </c>
      <c r="H39" s="21"/>
      <c r="I39" s="21"/>
      <c r="J39" s="21"/>
      <c r="K39" s="46"/>
      <c r="L39" s="21"/>
      <c r="M39" s="21"/>
      <c r="N39" s="21"/>
      <c r="O39" s="21"/>
      <c r="P39" s="47">
        <f t="shared" si="0"/>
        <v>2780</v>
      </c>
      <c r="Q39" s="48"/>
      <c r="R39" s="86"/>
      <c r="S39" s="48"/>
      <c r="T39" s="48"/>
    </row>
    <row r="40" s="5" customFormat="1" spans="1:20">
      <c r="A40" s="28"/>
      <c r="B40" s="26" t="s">
        <v>111</v>
      </c>
      <c r="C40" s="25" t="s">
        <v>111</v>
      </c>
      <c r="D40" s="21">
        <v>0</v>
      </c>
      <c r="E40" s="21">
        <v>0</v>
      </c>
      <c r="F40" s="21">
        <v>0</v>
      </c>
      <c r="G40" s="21">
        <v>3130</v>
      </c>
      <c r="H40" s="21"/>
      <c r="I40" s="21"/>
      <c r="J40" s="21"/>
      <c r="K40" s="46"/>
      <c r="L40" s="21"/>
      <c r="M40" s="21"/>
      <c r="N40" s="21"/>
      <c r="O40" s="21"/>
      <c r="P40" s="47">
        <f t="shared" si="0"/>
        <v>3130</v>
      </c>
      <c r="Q40" s="48"/>
      <c r="R40" s="86"/>
      <c r="S40" s="48"/>
      <c r="T40" s="48"/>
    </row>
    <row r="41" s="5" customFormat="1" spans="1:20">
      <c r="A41" s="29" t="s">
        <v>112</v>
      </c>
      <c r="B41" s="30" t="s">
        <v>113</v>
      </c>
      <c r="C41" s="20" t="s">
        <v>113</v>
      </c>
      <c r="D41" s="21">
        <v>598639.21</v>
      </c>
      <c r="E41" s="21">
        <v>646031.88</v>
      </c>
      <c r="F41" s="21">
        <v>2541871.9</v>
      </c>
      <c r="G41" s="21">
        <v>4007897.12</v>
      </c>
      <c r="H41" s="21"/>
      <c r="I41" s="21"/>
      <c r="J41" s="21"/>
      <c r="K41" s="46"/>
      <c r="L41" s="21"/>
      <c r="M41" s="21"/>
      <c r="N41" s="21"/>
      <c r="O41" s="21"/>
      <c r="P41" s="47">
        <f t="shared" si="0"/>
        <v>7794440.11</v>
      </c>
      <c r="Q41" s="48"/>
      <c r="R41" s="86"/>
      <c r="S41" s="48"/>
      <c r="T41" s="48"/>
    </row>
    <row r="42" s="5" customFormat="1" spans="1:20">
      <c r="A42" s="31"/>
      <c r="B42" s="19" t="s">
        <v>114</v>
      </c>
      <c r="C42" s="32" t="s">
        <v>114</v>
      </c>
      <c r="D42" s="21">
        <v>89320.37</v>
      </c>
      <c r="E42" s="21">
        <v>37975.75</v>
      </c>
      <c r="F42" s="21">
        <v>88282.81</v>
      </c>
      <c r="G42" s="21">
        <v>3055</v>
      </c>
      <c r="H42" s="21"/>
      <c r="I42" s="21"/>
      <c r="J42" s="21"/>
      <c r="K42" s="46"/>
      <c r="L42" s="21"/>
      <c r="M42" s="21"/>
      <c r="N42" s="21"/>
      <c r="O42" s="21"/>
      <c r="P42" s="47">
        <f t="shared" si="0"/>
        <v>218633.93</v>
      </c>
      <c r="Q42" s="48"/>
      <c r="R42" s="86"/>
      <c r="S42" s="48"/>
      <c r="T42" s="48"/>
    </row>
    <row r="43" s="5" customFormat="1" spans="1:20">
      <c r="A43" s="31"/>
      <c r="B43" s="19" t="s">
        <v>115</v>
      </c>
      <c r="C43" s="32" t="s">
        <v>115</v>
      </c>
      <c r="D43" s="21">
        <v>0</v>
      </c>
      <c r="E43" s="21">
        <v>0</v>
      </c>
      <c r="F43" s="21">
        <v>0</v>
      </c>
      <c r="G43" s="21">
        <v>0</v>
      </c>
      <c r="H43" s="21"/>
      <c r="I43" s="21"/>
      <c r="J43" s="21"/>
      <c r="K43" s="46"/>
      <c r="L43" s="21"/>
      <c r="M43" s="21"/>
      <c r="N43" s="21"/>
      <c r="O43" s="21"/>
      <c r="P43" s="47">
        <f t="shared" si="0"/>
        <v>0</v>
      </c>
      <c r="Q43" s="48"/>
      <c r="R43" s="86"/>
      <c r="S43" s="48"/>
      <c r="T43" s="48"/>
    </row>
    <row r="44" s="5" customFormat="1" spans="1:20">
      <c r="A44" s="31"/>
      <c r="B44" s="19" t="s">
        <v>116</v>
      </c>
      <c r="C44" s="32" t="s">
        <v>117</v>
      </c>
      <c r="D44" s="21">
        <v>0</v>
      </c>
      <c r="E44" s="21">
        <v>0</v>
      </c>
      <c r="F44" s="21">
        <v>0</v>
      </c>
      <c r="G44" s="21">
        <v>0</v>
      </c>
      <c r="H44" s="21"/>
      <c r="I44" s="21"/>
      <c r="J44" s="21"/>
      <c r="K44" s="46"/>
      <c r="L44" s="21"/>
      <c r="M44" s="21"/>
      <c r="N44" s="21"/>
      <c r="O44" s="21"/>
      <c r="P44" s="47">
        <f t="shared" si="0"/>
        <v>0</v>
      </c>
      <c r="Q44" s="48"/>
      <c r="R44" s="86"/>
      <c r="S44" s="48"/>
      <c r="T44" s="48"/>
    </row>
    <row r="45" s="5" customFormat="1" spans="1:20">
      <c r="A45" s="31"/>
      <c r="B45" s="23"/>
      <c r="C45" s="32" t="s">
        <v>118</v>
      </c>
      <c r="D45" s="21">
        <v>0</v>
      </c>
      <c r="E45" s="21">
        <v>0</v>
      </c>
      <c r="F45" s="21">
        <v>0</v>
      </c>
      <c r="G45" s="21">
        <v>0</v>
      </c>
      <c r="H45" s="21"/>
      <c r="I45" s="21"/>
      <c r="J45" s="21"/>
      <c r="K45" s="46"/>
      <c r="L45" s="21"/>
      <c r="M45" s="21"/>
      <c r="N45" s="21"/>
      <c r="O45" s="21"/>
      <c r="P45" s="47">
        <f t="shared" si="0"/>
        <v>0</v>
      </c>
      <c r="Q45" s="48"/>
      <c r="R45" s="86"/>
      <c r="S45" s="48"/>
      <c r="T45" s="48"/>
    </row>
    <row r="46" s="5" customFormat="1" spans="1:20">
      <c r="A46" s="31"/>
      <c r="B46" s="26" t="s">
        <v>119</v>
      </c>
      <c r="C46" s="33" t="s">
        <v>119</v>
      </c>
      <c r="D46" s="21">
        <v>10701447.9</v>
      </c>
      <c r="E46" s="21">
        <v>10990053.7900001</v>
      </c>
      <c r="F46" s="21">
        <v>11064709.23</v>
      </c>
      <c r="G46" s="21">
        <v>10001552.6600001</v>
      </c>
      <c r="H46" s="21"/>
      <c r="I46" s="21"/>
      <c r="J46" s="21"/>
      <c r="K46" s="46"/>
      <c r="L46" s="21"/>
      <c r="M46" s="21"/>
      <c r="N46" s="21"/>
      <c r="O46" s="21"/>
      <c r="P46" s="47">
        <f t="shared" si="0"/>
        <v>42757763.5800003</v>
      </c>
      <c r="Q46" s="48"/>
      <c r="R46" s="86"/>
      <c r="S46" s="48"/>
      <c r="T46" s="48"/>
    </row>
    <row r="47" s="5" customFormat="1" spans="1:20">
      <c r="A47" s="31"/>
      <c r="B47" s="26" t="s">
        <v>120</v>
      </c>
      <c r="C47" s="33" t="s">
        <v>120</v>
      </c>
      <c r="D47" s="21">
        <v>0</v>
      </c>
      <c r="E47" s="21">
        <v>0</v>
      </c>
      <c r="F47" s="21">
        <v>0</v>
      </c>
      <c r="G47" s="21">
        <v>0</v>
      </c>
      <c r="H47" s="21"/>
      <c r="I47" s="21"/>
      <c r="J47" s="21"/>
      <c r="K47" s="46"/>
      <c r="L47" s="21"/>
      <c r="M47" s="21"/>
      <c r="N47" s="21"/>
      <c r="O47" s="21"/>
      <c r="P47" s="47">
        <f t="shared" si="0"/>
        <v>0</v>
      </c>
      <c r="Q47" s="48"/>
      <c r="R47" s="86"/>
      <c r="S47" s="48"/>
      <c r="T47" s="48"/>
    </row>
    <row r="48" s="5" customFormat="1" spans="1:20">
      <c r="A48" s="31"/>
      <c r="B48" s="34" t="s">
        <v>121</v>
      </c>
      <c r="C48" s="35" t="s">
        <v>121</v>
      </c>
      <c r="D48" s="21">
        <v>0</v>
      </c>
      <c r="E48" s="21">
        <v>0</v>
      </c>
      <c r="F48" s="21">
        <v>18593</v>
      </c>
      <c r="G48" s="21">
        <v>0</v>
      </c>
      <c r="H48" s="21"/>
      <c r="I48" s="21"/>
      <c r="J48" s="21"/>
      <c r="K48" s="46"/>
      <c r="L48" s="21"/>
      <c r="M48" s="21"/>
      <c r="N48" s="21"/>
      <c r="O48" s="21"/>
      <c r="P48" s="47">
        <f t="shared" si="0"/>
        <v>18593</v>
      </c>
      <c r="Q48" s="48"/>
      <c r="R48" s="86"/>
      <c r="S48" s="48"/>
      <c r="T48" s="48"/>
    </row>
    <row r="49" s="5" customFormat="1" spans="1:20">
      <c r="A49" s="36" t="s">
        <v>122</v>
      </c>
      <c r="B49" s="37" t="s">
        <v>123</v>
      </c>
      <c r="C49" s="33" t="s">
        <v>124</v>
      </c>
      <c r="D49" s="21">
        <v>2379276.56</v>
      </c>
      <c r="E49" s="21">
        <v>-113558.29</v>
      </c>
      <c r="F49" s="21">
        <v>2719963.82</v>
      </c>
      <c r="G49" s="21">
        <v>3317484.25</v>
      </c>
      <c r="H49" s="21"/>
      <c r="I49" s="21"/>
      <c r="J49" s="21"/>
      <c r="K49" s="46"/>
      <c r="L49" s="21"/>
      <c r="M49" s="21"/>
      <c r="N49" s="21"/>
      <c r="O49" s="21"/>
      <c r="P49" s="47">
        <f t="shared" si="0"/>
        <v>8303166.34</v>
      </c>
      <c r="Q49" s="48"/>
      <c r="R49" s="86"/>
      <c r="S49" s="48"/>
      <c r="T49" s="48"/>
    </row>
    <row r="50" s="5" customFormat="1" spans="1:20">
      <c r="A50" s="36"/>
      <c r="B50" s="38"/>
      <c r="C50" s="33" t="s">
        <v>125</v>
      </c>
      <c r="D50" s="21"/>
      <c r="E50" s="21">
        <v>0</v>
      </c>
      <c r="F50" s="21">
        <v>0</v>
      </c>
      <c r="G50" s="21">
        <v>0</v>
      </c>
      <c r="H50" s="21"/>
      <c r="I50" s="21"/>
      <c r="J50" s="21"/>
      <c r="K50" s="46"/>
      <c r="L50" s="21"/>
      <c r="M50" s="21"/>
      <c r="N50" s="21"/>
      <c r="O50" s="21"/>
      <c r="P50" s="47">
        <f t="shared" si="0"/>
        <v>0</v>
      </c>
      <c r="Q50" s="48"/>
      <c r="R50" s="86"/>
      <c r="S50" s="48"/>
      <c r="T50" s="48"/>
    </row>
    <row r="51" s="5" customFormat="1" spans="1:20">
      <c r="A51" s="36"/>
      <c r="B51" s="39"/>
      <c r="C51" s="33" t="s">
        <v>83</v>
      </c>
      <c r="D51" s="21"/>
      <c r="E51" s="21">
        <v>0</v>
      </c>
      <c r="F51" s="21"/>
      <c r="G51" s="21">
        <v>0</v>
      </c>
      <c r="H51" s="21"/>
      <c r="I51" s="21"/>
      <c r="J51" s="21"/>
      <c r="K51" s="46"/>
      <c r="L51" s="21"/>
      <c r="M51" s="21"/>
      <c r="N51" s="21"/>
      <c r="O51" s="21"/>
      <c r="P51" s="47">
        <f t="shared" si="0"/>
        <v>0</v>
      </c>
      <c r="Q51" s="48"/>
      <c r="R51" s="86"/>
      <c r="S51" s="48"/>
      <c r="T51" s="48"/>
    </row>
    <row r="52" s="5" customFormat="1" spans="1:20">
      <c r="A52" s="36"/>
      <c r="B52" s="19" t="s">
        <v>126</v>
      </c>
      <c r="C52" s="33" t="s">
        <v>127</v>
      </c>
      <c r="D52" s="21"/>
      <c r="E52" s="21"/>
      <c r="F52" s="21"/>
      <c r="G52" s="21">
        <v>0</v>
      </c>
      <c r="H52" s="21"/>
      <c r="I52" s="21"/>
      <c r="J52" s="21"/>
      <c r="K52" s="46"/>
      <c r="L52" s="21"/>
      <c r="M52" s="21"/>
      <c r="N52" s="21"/>
      <c r="O52" s="21"/>
      <c r="P52" s="47">
        <f t="shared" si="0"/>
        <v>0</v>
      </c>
      <c r="Q52" s="48"/>
      <c r="R52" s="86"/>
      <c r="S52" s="48"/>
      <c r="T52" s="48"/>
    </row>
    <row r="53" s="5" customFormat="1" spans="1:20">
      <c r="A53" s="36"/>
      <c r="B53" s="24"/>
      <c r="C53" s="33" t="s">
        <v>128</v>
      </c>
      <c r="D53" s="21">
        <v>-15384.58</v>
      </c>
      <c r="E53" s="21">
        <v>-10942.76</v>
      </c>
      <c r="F53" s="21">
        <v>-20255.44</v>
      </c>
      <c r="G53" s="21">
        <v>173990.76</v>
      </c>
      <c r="H53" s="21"/>
      <c r="I53" s="21"/>
      <c r="J53" s="21"/>
      <c r="K53" s="46"/>
      <c r="L53" s="21"/>
      <c r="M53" s="21"/>
      <c r="N53" s="21"/>
      <c r="O53" s="21"/>
      <c r="P53" s="47">
        <f t="shared" si="0"/>
        <v>127407.98</v>
      </c>
      <c r="Q53" s="48"/>
      <c r="R53" s="86"/>
      <c r="S53" s="48"/>
      <c r="T53" s="48"/>
    </row>
    <row r="54" s="5" customFormat="1" spans="1:20">
      <c r="A54" s="36"/>
      <c r="B54" s="23"/>
      <c r="C54" s="33" t="s">
        <v>83</v>
      </c>
      <c r="D54" s="21"/>
      <c r="E54" s="21">
        <v>0</v>
      </c>
      <c r="F54" s="21"/>
      <c r="G54" s="21">
        <v>0</v>
      </c>
      <c r="H54" s="21"/>
      <c r="I54" s="21"/>
      <c r="J54" s="21"/>
      <c r="K54" s="46"/>
      <c r="L54" s="21"/>
      <c r="M54" s="21"/>
      <c r="N54" s="21"/>
      <c r="O54" s="21"/>
      <c r="P54" s="47">
        <f t="shared" si="0"/>
        <v>0</v>
      </c>
      <c r="Q54" s="48"/>
      <c r="R54" s="86"/>
      <c r="S54" s="48"/>
      <c r="T54" s="48"/>
    </row>
    <row r="55" s="5" customFormat="1" spans="1:20">
      <c r="A55" s="36"/>
      <c r="B55" s="40" t="s">
        <v>129</v>
      </c>
      <c r="C55" s="33" t="s">
        <v>129</v>
      </c>
      <c r="D55" s="21">
        <v>0</v>
      </c>
      <c r="E55" s="21">
        <v>0</v>
      </c>
      <c r="F55" s="21">
        <v>0</v>
      </c>
      <c r="G55" s="21">
        <v>0</v>
      </c>
      <c r="H55" s="21"/>
      <c r="I55" s="21"/>
      <c r="J55" s="21"/>
      <c r="K55" s="46"/>
      <c r="L55" s="21"/>
      <c r="M55" s="21"/>
      <c r="N55" s="21"/>
      <c r="O55" s="21"/>
      <c r="P55" s="47">
        <f t="shared" si="0"/>
        <v>0</v>
      </c>
      <c r="Q55" s="48"/>
      <c r="R55" s="86"/>
      <c r="S55" s="48"/>
      <c r="T55" s="48"/>
    </row>
    <row r="56" s="5" customFormat="1" spans="1:20">
      <c r="A56" s="36"/>
      <c r="B56" s="40" t="s">
        <v>130</v>
      </c>
      <c r="C56" s="33" t="s">
        <v>130</v>
      </c>
      <c r="D56" s="21">
        <v>0</v>
      </c>
      <c r="E56" s="21">
        <v>0</v>
      </c>
      <c r="F56" s="21">
        <v>0</v>
      </c>
      <c r="G56" s="21">
        <v>0</v>
      </c>
      <c r="H56" s="21"/>
      <c r="I56" s="21"/>
      <c r="J56" s="21"/>
      <c r="K56" s="46"/>
      <c r="L56" s="21"/>
      <c r="M56" s="21"/>
      <c r="N56" s="21"/>
      <c r="O56" s="21"/>
      <c r="P56" s="47">
        <f t="shared" si="0"/>
        <v>0</v>
      </c>
      <c r="Q56" s="48"/>
      <c r="R56" s="86"/>
      <c r="S56" s="48"/>
      <c r="T56" s="48"/>
    </row>
    <row r="57" s="5" customFormat="1" spans="1:20">
      <c r="A57" s="41" t="s">
        <v>131</v>
      </c>
      <c r="B57" s="26" t="s">
        <v>132</v>
      </c>
      <c r="C57" s="33" t="s">
        <v>132</v>
      </c>
      <c r="D57" s="21">
        <v>0</v>
      </c>
      <c r="E57" s="21">
        <v>0</v>
      </c>
      <c r="F57" s="21">
        <v>1086</v>
      </c>
      <c r="G57" s="21">
        <v>0</v>
      </c>
      <c r="H57" s="21"/>
      <c r="I57" s="21"/>
      <c r="J57" s="21"/>
      <c r="K57" s="46"/>
      <c r="L57" s="21"/>
      <c r="M57" s="21"/>
      <c r="N57" s="21"/>
      <c r="O57" s="21"/>
      <c r="P57" s="47">
        <f t="shared" si="0"/>
        <v>1086</v>
      </c>
      <c r="Q57" s="48"/>
      <c r="R57" s="86"/>
      <c r="S57" s="48"/>
      <c r="T57" s="48"/>
    </row>
    <row r="58" s="5" customFormat="1" spans="1:20">
      <c r="A58" s="41"/>
      <c r="B58" s="37" t="s">
        <v>133</v>
      </c>
      <c r="C58" s="33" t="s">
        <v>133</v>
      </c>
      <c r="D58" s="21">
        <v>0</v>
      </c>
      <c r="E58" s="21">
        <v>0</v>
      </c>
      <c r="F58" s="21">
        <v>0</v>
      </c>
      <c r="G58" s="21">
        <v>0</v>
      </c>
      <c r="H58" s="21"/>
      <c r="I58" s="21"/>
      <c r="J58" s="21"/>
      <c r="K58" s="46"/>
      <c r="L58" s="21"/>
      <c r="M58" s="21"/>
      <c r="N58" s="21"/>
      <c r="O58" s="21"/>
      <c r="P58" s="47">
        <f t="shared" si="0"/>
        <v>0</v>
      </c>
      <c r="Q58" s="48"/>
      <c r="R58" s="86"/>
      <c r="S58" s="48"/>
      <c r="T58" s="48"/>
    </row>
    <row r="59" s="5" customFormat="1" spans="1:20">
      <c r="A59" s="41"/>
      <c r="B59" s="37" t="s">
        <v>134</v>
      </c>
      <c r="C59" s="33" t="s">
        <v>135</v>
      </c>
      <c r="D59" s="21"/>
      <c r="E59" s="21"/>
      <c r="F59" s="21"/>
      <c r="G59" s="21">
        <v>0</v>
      </c>
      <c r="H59" s="21"/>
      <c r="I59" s="21"/>
      <c r="J59" s="21"/>
      <c r="K59" s="46"/>
      <c r="L59" s="21"/>
      <c r="M59" s="21"/>
      <c r="N59" s="21"/>
      <c r="O59" s="21"/>
      <c r="P59" s="47">
        <f t="shared" si="0"/>
        <v>0</v>
      </c>
      <c r="Q59" s="48"/>
      <c r="R59" s="86"/>
      <c r="S59" s="48"/>
      <c r="T59" s="48"/>
    </row>
    <row r="60" s="5" customFormat="1" spans="1:20">
      <c r="A60" s="41"/>
      <c r="B60" s="39"/>
      <c r="C60" s="33" t="s">
        <v>83</v>
      </c>
      <c r="D60" s="21">
        <v>0</v>
      </c>
      <c r="E60" s="21">
        <v>0</v>
      </c>
      <c r="F60" s="21"/>
      <c r="G60" s="21">
        <v>0</v>
      </c>
      <c r="H60" s="21"/>
      <c r="I60" s="21"/>
      <c r="J60" s="21"/>
      <c r="K60" s="46"/>
      <c r="L60" s="21"/>
      <c r="M60" s="21"/>
      <c r="N60" s="21"/>
      <c r="O60" s="21"/>
      <c r="P60" s="47">
        <f t="shared" si="0"/>
        <v>0</v>
      </c>
      <c r="Q60" s="48"/>
      <c r="R60" s="86"/>
      <c r="S60" s="48"/>
      <c r="T60" s="48"/>
    </row>
    <row r="61" s="5" customFormat="1" spans="1:20">
      <c r="A61" s="41"/>
      <c r="B61" s="40" t="s">
        <v>136</v>
      </c>
      <c r="C61" s="33" t="s">
        <v>136</v>
      </c>
      <c r="D61" s="21">
        <v>0</v>
      </c>
      <c r="E61" s="21">
        <v>0</v>
      </c>
      <c r="F61" s="21">
        <v>0</v>
      </c>
      <c r="G61" s="21">
        <v>0</v>
      </c>
      <c r="H61" s="21"/>
      <c r="I61" s="21"/>
      <c r="J61" s="21"/>
      <c r="K61" s="46"/>
      <c r="L61" s="21"/>
      <c r="M61" s="21"/>
      <c r="N61" s="21"/>
      <c r="O61" s="21"/>
      <c r="P61" s="47">
        <f t="shared" si="0"/>
        <v>0</v>
      </c>
      <c r="Q61" s="48"/>
      <c r="R61" s="86"/>
      <c r="S61" s="48"/>
      <c r="T61" s="48"/>
    </row>
    <row r="62" s="5" customFormat="1" spans="1:20">
      <c r="A62" s="41"/>
      <c r="B62" s="26" t="s">
        <v>137</v>
      </c>
      <c r="C62" s="33" t="s">
        <v>137</v>
      </c>
      <c r="D62" s="21">
        <v>0</v>
      </c>
      <c r="E62" s="21">
        <v>0</v>
      </c>
      <c r="F62" s="21">
        <v>0</v>
      </c>
      <c r="G62" s="21">
        <v>0</v>
      </c>
      <c r="H62" s="21"/>
      <c r="I62" s="21"/>
      <c r="J62" s="21"/>
      <c r="K62" s="46"/>
      <c r="L62" s="21"/>
      <c r="M62" s="21"/>
      <c r="N62" s="21"/>
      <c r="O62" s="21"/>
      <c r="P62" s="47">
        <f t="shared" si="0"/>
        <v>0</v>
      </c>
      <c r="Q62" s="48"/>
      <c r="R62" s="86"/>
      <c r="S62" s="48"/>
      <c r="T62" s="48"/>
    </row>
    <row r="63" s="5" customFormat="1" customHeight="1" spans="1:20">
      <c r="A63" s="42" t="s">
        <v>138</v>
      </c>
      <c r="B63" s="43" t="s">
        <v>139</v>
      </c>
      <c r="C63" s="33" t="s">
        <v>139</v>
      </c>
      <c r="D63" s="21">
        <v>-589312.43</v>
      </c>
      <c r="E63" s="21">
        <v>1892359.73000001</v>
      </c>
      <c r="F63" s="21">
        <v>563474.01</v>
      </c>
      <c r="G63" s="21">
        <v>685769.07</v>
      </c>
      <c r="H63" s="21"/>
      <c r="I63" s="21"/>
      <c r="J63" s="21"/>
      <c r="K63" s="46"/>
      <c r="L63" s="21"/>
      <c r="M63" s="21"/>
      <c r="N63" s="21"/>
      <c r="O63" s="21"/>
      <c r="P63" s="47">
        <f t="shared" si="0"/>
        <v>2552290.38000001</v>
      </c>
      <c r="Q63" s="48"/>
      <c r="R63" s="86"/>
      <c r="S63" s="48"/>
      <c r="T63" s="48"/>
    </row>
    <row r="64" s="5" customFormat="1" spans="1:20">
      <c r="A64" s="42"/>
      <c r="B64" s="43" t="s">
        <v>140</v>
      </c>
      <c r="C64" s="33" t="s">
        <v>140</v>
      </c>
      <c r="D64" s="21">
        <v>65707.05</v>
      </c>
      <c r="E64" s="21">
        <v>48367.29</v>
      </c>
      <c r="F64" s="21">
        <v>47005.22</v>
      </c>
      <c r="G64" s="21">
        <v>63273.8499999999</v>
      </c>
      <c r="H64" s="21"/>
      <c r="I64" s="21"/>
      <c r="J64" s="21"/>
      <c r="K64" s="46"/>
      <c r="L64" s="21"/>
      <c r="M64" s="21"/>
      <c r="N64" s="21"/>
      <c r="O64" s="21"/>
      <c r="P64" s="47">
        <f t="shared" si="0"/>
        <v>224353.41</v>
      </c>
      <c r="Q64" s="48"/>
      <c r="R64" s="86"/>
      <c r="S64" s="48"/>
      <c r="T64" s="48"/>
    </row>
    <row r="65" s="5" customFormat="1" spans="1:20">
      <c r="A65" s="42"/>
      <c r="B65" s="43" t="s">
        <v>141</v>
      </c>
      <c r="C65" s="33" t="s">
        <v>141</v>
      </c>
      <c r="D65" s="21">
        <v>3918096.92</v>
      </c>
      <c r="E65" s="21">
        <v>2899429.69</v>
      </c>
      <c r="F65" s="21">
        <v>4073276.61</v>
      </c>
      <c r="G65" s="21">
        <v>4802220.34</v>
      </c>
      <c r="H65" s="21"/>
      <c r="I65" s="21"/>
      <c r="J65" s="21"/>
      <c r="K65" s="46"/>
      <c r="L65" s="21"/>
      <c r="M65" s="21"/>
      <c r="N65" s="21"/>
      <c r="O65" s="21"/>
      <c r="P65" s="47">
        <f t="shared" si="0"/>
        <v>15693023.56</v>
      </c>
      <c r="Q65" s="48"/>
      <c r="R65" s="86"/>
      <c r="S65" s="48"/>
      <c r="T65" s="48"/>
    </row>
    <row r="66" s="5" customFormat="1" spans="1:20">
      <c r="A66" s="42"/>
      <c r="B66" s="43" t="s">
        <v>142</v>
      </c>
      <c r="C66" s="33" t="s">
        <v>142</v>
      </c>
      <c r="D66" s="21">
        <v>1987804.58</v>
      </c>
      <c r="E66" s="21">
        <v>1666034</v>
      </c>
      <c r="F66" s="21">
        <v>1821844.47</v>
      </c>
      <c r="G66" s="21">
        <v>767159.69</v>
      </c>
      <c r="H66" s="21"/>
      <c r="I66" s="21"/>
      <c r="J66" s="21"/>
      <c r="K66" s="46"/>
      <c r="L66" s="21"/>
      <c r="M66" s="21"/>
      <c r="N66" s="21"/>
      <c r="O66" s="21"/>
      <c r="P66" s="47">
        <f t="shared" si="0"/>
        <v>6242842.74</v>
      </c>
      <c r="Q66" s="48"/>
      <c r="R66" s="86"/>
      <c r="S66" s="48"/>
      <c r="T66" s="48"/>
    </row>
    <row r="67" s="5" customFormat="1" spans="1:20">
      <c r="A67" s="42"/>
      <c r="B67" s="43" t="s">
        <v>143</v>
      </c>
      <c r="C67" s="33" t="s">
        <v>143</v>
      </c>
      <c r="D67" s="21">
        <v>0</v>
      </c>
      <c r="E67" s="21">
        <v>0</v>
      </c>
      <c r="F67" s="21">
        <v>0</v>
      </c>
      <c r="G67" s="21">
        <v>0</v>
      </c>
      <c r="H67" s="21"/>
      <c r="I67" s="21"/>
      <c r="J67" s="21"/>
      <c r="K67" s="46"/>
      <c r="L67" s="21"/>
      <c r="M67" s="21"/>
      <c r="N67" s="21"/>
      <c r="O67" s="21"/>
      <c r="P67" s="47">
        <f t="shared" si="0"/>
        <v>0</v>
      </c>
      <c r="Q67" s="48"/>
      <c r="R67" s="86"/>
      <c r="S67" s="48"/>
      <c r="T67" s="48"/>
    </row>
    <row r="68" s="5" customFormat="1" spans="1:20">
      <c r="A68" s="42"/>
      <c r="B68" s="37" t="s">
        <v>144</v>
      </c>
      <c r="C68" s="33" t="s">
        <v>145</v>
      </c>
      <c r="D68" s="21">
        <v>0</v>
      </c>
      <c r="E68" s="21">
        <v>0</v>
      </c>
      <c r="F68" s="21">
        <v>0</v>
      </c>
      <c r="G68" s="21">
        <v>0</v>
      </c>
      <c r="H68" s="21"/>
      <c r="I68" s="21"/>
      <c r="J68" s="21"/>
      <c r="K68" s="46"/>
      <c r="L68" s="21"/>
      <c r="M68" s="21"/>
      <c r="N68" s="21"/>
      <c r="O68" s="21"/>
      <c r="P68" s="47">
        <f t="shared" si="0"/>
        <v>0</v>
      </c>
      <c r="Q68" s="48"/>
      <c r="R68" s="86"/>
      <c r="S68" s="48"/>
      <c r="T68" s="48"/>
    </row>
    <row r="69" s="5" customFormat="1" spans="1:20">
      <c r="A69" s="42"/>
      <c r="B69" s="39"/>
      <c r="C69" s="33" t="s">
        <v>146</v>
      </c>
      <c r="D69" s="21">
        <v>0</v>
      </c>
      <c r="E69" s="21">
        <v>0</v>
      </c>
      <c r="F69" s="21">
        <v>1200</v>
      </c>
      <c r="G69" s="21">
        <v>0</v>
      </c>
      <c r="H69" s="21"/>
      <c r="I69" s="21"/>
      <c r="J69" s="21"/>
      <c r="K69" s="46"/>
      <c r="L69" s="21"/>
      <c r="M69" s="21"/>
      <c r="N69" s="21"/>
      <c r="O69" s="21"/>
      <c r="P69" s="47">
        <f t="shared" si="0"/>
        <v>1200</v>
      </c>
      <c r="Q69" s="48"/>
      <c r="R69" s="86"/>
      <c r="S69" s="48"/>
      <c r="T69" s="48"/>
    </row>
    <row r="70" s="5" customFormat="1" spans="1:20">
      <c r="A70" s="42"/>
      <c r="B70" s="37" t="s">
        <v>147</v>
      </c>
      <c r="C70" s="32" t="s">
        <v>147</v>
      </c>
      <c r="D70" s="21">
        <v>914</v>
      </c>
      <c r="E70" s="21">
        <v>0</v>
      </c>
      <c r="F70" s="21">
        <v>1188.5</v>
      </c>
      <c r="G70" s="21">
        <v>6303.65</v>
      </c>
      <c r="H70" s="21"/>
      <c r="I70" s="21"/>
      <c r="J70" s="21"/>
      <c r="K70" s="46"/>
      <c r="L70" s="21"/>
      <c r="M70" s="21"/>
      <c r="N70" s="21"/>
      <c r="O70" s="21"/>
      <c r="P70" s="47">
        <f t="shared" si="0"/>
        <v>8406.15</v>
      </c>
      <c r="Q70" s="48"/>
      <c r="R70" s="86"/>
      <c r="S70" s="48"/>
      <c r="T70" s="48"/>
    </row>
    <row r="71" s="5" customFormat="1" spans="1:20">
      <c r="A71" s="42"/>
      <c r="B71" s="40" t="s">
        <v>148</v>
      </c>
      <c r="C71" s="33" t="s">
        <v>148</v>
      </c>
      <c r="D71" s="21"/>
      <c r="E71" s="21"/>
      <c r="F71" s="21"/>
      <c r="G71" s="21">
        <v>0</v>
      </c>
      <c r="H71" s="21"/>
      <c r="I71" s="21"/>
      <c r="J71" s="21"/>
      <c r="K71" s="46"/>
      <c r="L71" s="21"/>
      <c r="M71" s="21"/>
      <c r="N71" s="21"/>
      <c r="O71" s="21"/>
      <c r="P71" s="47">
        <f t="shared" ref="P71:P98" si="1">SUM(D71:O71)</f>
        <v>0</v>
      </c>
      <c r="Q71" s="48"/>
      <c r="R71" s="86"/>
      <c r="S71" s="48"/>
      <c r="T71" s="48"/>
    </row>
    <row r="72" s="5" customFormat="1" spans="1:20">
      <c r="A72" s="42"/>
      <c r="B72" s="40" t="s">
        <v>149</v>
      </c>
      <c r="C72" s="33" t="s">
        <v>149</v>
      </c>
      <c r="D72" s="21"/>
      <c r="E72" s="21"/>
      <c r="F72" s="21"/>
      <c r="G72" s="21">
        <v>0</v>
      </c>
      <c r="H72" s="21"/>
      <c r="I72" s="21"/>
      <c r="J72" s="21"/>
      <c r="K72" s="46"/>
      <c r="L72" s="21"/>
      <c r="M72" s="21"/>
      <c r="N72" s="21"/>
      <c r="O72" s="21"/>
      <c r="P72" s="47">
        <f t="shared" si="1"/>
        <v>0</v>
      </c>
      <c r="Q72" s="48"/>
      <c r="R72" s="86"/>
      <c r="S72" s="48"/>
      <c r="T72" s="48"/>
    </row>
    <row r="73" s="5" customFormat="1" spans="1:20">
      <c r="A73" s="42"/>
      <c r="B73" s="37" t="s">
        <v>150</v>
      </c>
      <c r="C73" s="33" t="s">
        <v>151</v>
      </c>
      <c r="D73" s="21"/>
      <c r="E73" s="21"/>
      <c r="F73" s="21"/>
      <c r="G73" s="21">
        <v>0</v>
      </c>
      <c r="H73" s="21"/>
      <c r="I73" s="21"/>
      <c r="J73" s="21"/>
      <c r="K73" s="46"/>
      <c r="L73" s="21"/>
      <c r="M73" s="21"/>
      <c r="N73" s="21"/>
      <c r="O73" s="21"/>
      <c r="P73" s="47">
        <f t="shared" si="1"/>
        <v>0</v>
      </c>
      <c r="Q73" s="48"/>
      <c r="R73" s="86"/>
      <c r="S73" s="48"/>
      <c r="T73" s="48"/>
    </row>
    <row r="74" s="5" customFormat="1" spans="1:20">
      <c r="A74" s="42"/>
      <c r="B74" s="39"/>
      <c r="C74" s="49" t="s">
        <v>152</v>
      </c>
      <c r="D74" s="21"/>
      <c r="E74" s="21">
        <v>0</v>
      </c>
      <c r="F74" s="21">
        <v>0</v>
      </c>
      <c r="G74" s="21">
        <v>0</v>
      </c>
      <c r="H74" s="21"/>
      <c r="I74" s="21"/>
      <c r="J74" s="21"/>
      <c r="K74" s="46"/>
      <c r="L74" s="21"/>
      <c r="M74" s="21"/>
      <c r="N74" s="21"/>
      <c r="O74" s="21"/>
      <c r="P74" s="47">
        <f t="shared" si="1"/>
        <v>0</v>
      </c>
      <c r="Q74" s="48"/>
      <c r="R74" s="86"/>
      <c r="S74" s="48"/>
      <c r="T74" s="48"/>
    </row>
    <row r="75" s="5" customFormat="1" spans="1:20">
      <c r="A75" s="42"/>
      <c r="B75" s="40" t="s">
        <v>153</v>
      </c>
      <c r="C75" s="33" t="s">
        <v>153</v>
      </c>
      <c r="D75" s="21"/>
      <c r="E75" s="21">
        <v>0</v>
      </c>
      <c r="F75" s="21">
        <v>0</v>
      </c>
      <c r="G75" s="21">
        <v>115.09</v>
      </c>
      <c r="H75" s="21"/>
      <c r="I75" s="21"/>
      <c r="J75" s="21"/>
      <c r="K75" s="46"/>
      <c r="L75" s="21"/>
      <c r="M75" s="21"/>
      <c r="N75" s="21"/>
      <c r="O75" s="21"/>
      <c r="P75" s="47">
        <f t="shared" si="1"/>
        <v>115.09</v>
      </c>
      <c r="Q75" s="48"/>
      <c r="R75" s="86"/>
      <c r="S75" s="48"/>
      <c r="T75" s="48"/>
    </row>
    <row r="76" s="5" customFormat="1" spans="1:20">
      <c r="A76" s="50" t="s">
        <v>154</v>
      </c>
      <c r="B76" s="19" t="s">
        <v>155</v>
      </c>
      <c r="C76" s="32" t="s">
        <v>155</v>
      </c>
      <c r="D76" s="21"/>
      <c r="E76" s="21">
        <v>0</v>
      </c>
      <c r="F76" s="21">
        <v>0</v>
      </c>
      <c r="G76" s="21">
        <v>0</v>
      </c>
      <c r="H76" s="21"/>
      <c r="I76" s="21"/>
      <c r="J76" s="21"/>
      <c r="K76" s="46"/>
      <c r="L76" s="21"/>
      <c r="M76" s="21"/>
      <c r="N76" s="21"/>
      <c r="O76" s="21"/>
      <c r="P76" s="47">
        <f t="shared" si="1"/>
        <v>0</v>
      </c>
      <c r="Q76" s="48"/>
      <c r="R76" s="86"/>
      <c r="S76" s="48"/>
      <c r="T76" s="48"/>
    </row>
    <row r="77" s="5" customFormat="1" spans="1:20">
      <c r="A77" s="50"/>
      <c r="B77" s="19" t="s">
        <v>156</v>
      </c>
      <c r="C77" s="33" t="s">
        <v>157</v>
      </c>
      <c r="D77" s="21"/>
      <c r="E77" s="21"/>
      <c r="F77" s="21"/>
      <c r="G77" s="21">
        <v>0</v>
      </c>
      <c r="H77" s="21"/>
      <c r="I77" s="21"/>
      <c r="J77" s="21"/>
      <c r="K77" s="46"/>
      <c r="L77" s="21"/>
      <c r="M77" s="21"/>
      <c r="N77" s="21"/>
      <c r="O77" s="21"/>
      <c r="P77" s="47">
        <f t="shared" si="1"/>
        <v>0</v>
      </c>
      <c r="Q77" s="48"/>
      <c r="R77" s="86"/>
      <c r="S77" s="48"/>
      <c r="T77" s="48"/>
    </row>
    <row r="78" s="5" customFormat="1" spans="1:20">
      <c r="A78" s="50"/>
      <c r="B78" s="23"/>
      <c r="C78" s="49" t="s">
        <v>158</v>
      </c>
      <c r="D78" s="21"/>
      <c r="E78" s="21"/>
      <c r="F78" s="21"/>
      <c r="G78" s="21">
        <v>0</v>
      </c>
      <c r="H78" s="21"/>
      <c r="I78" s="21"/>
      <c r="J78" s="21"/>
      <c r="K78" s="46"/>
      <c r="L78" s="21"/>
      <c r="M78" s="21"/>
      <c r="N78" s="21"/>
      <c r="O78" s="21"/>
      <c r="P78" s="47">
        <f t="shared" si="1"/>
        <v>0</v>
      </c>
      <c r="Q78" s="48"/>
      <c r="R78" s="86"/>
      <c r="S78" s="48"/>
      <c r="T78" s="48"/>
    </row>
    <row r="79" s="5" customFormat="1" spans="1:20">
      <c r="A79" s="50"/>
      <c r="B79" s="26" t="s">
        <v>159</v>
      </c>
      <c r="C79" s="33" t="s">
        <v>159</v>
      </c>
      <c r="D79" s="21"/>
      <c r="E79" s="21">
        <v>0</v>
      </c>
      <c r="F79" s="21">
        <v>0</v>
      </c>
      <c r="G79" s="21">
        <v>0</v>
      </c>
      <c r="H79" s="21"/>
      <c r="I79" s="21"/>
      <c r="J79" s="21"/>
      <c r="K79" s="46"/>
      <c r="L79" s="21"/>
      <c r="M79" s="21"/>
      <c r="N79" s="21"/>
      <c r="O79" s="21"/>
      <c r="P79" s="47">
        <f t="shared" si="1"/>
        <v>0</v>
      </c>
      <c r="Q79" s="48"/>
      <c r="R79" s="86"/>
      <c r="S79" s="48"/>
      <c r="T79" s="48"/>
    </row>
    <row r="80" s="5" customFormat="1" spans="1:20">
      <c r="A80" s="51" t="s">
        <v>160</v>
      </c>
      <c r="B80" s="26" t="s">
        <v>161</v>
      </c>
      <c r="C80" s="33" t="s">
        <v>161</v>
      </c>
      <c r="D80" s="21">
        <v>48500.97</v>
      </c>
      <c r="E80" s="21">
        <v>65830.72</v>
      </c>
      <c r="F80" s="21">
        <v>99585.8500000001</v>
      </c>
      <c r="G80" s="21">
        <v>121629.71</v>
      </c>
      <c r="H80" s="21"/>
      <c r="I80" s="21"/>
      <c r="J80" s="21"/>
      <c r="K80" s="46"/>
      <c r="L80" s="21"/>
      <c r="M80" s="21"/>
      <c r="N80" s="21"/>
      <c r="O80" s="21"/>
      <c r="P80" s="47">
        <f t="shared" si="1"/>
        <v>335547.25</v>
      </c>
      <c r="Q80" s="48"/>
      <c r="R80" s="86"/>
      <c r="S80" s="48"/>
      <c r="T80" s="48"/>
    </row>
    <row r="81" s="5" customFormat="1" spans="1:20">
      <c r="A81" s="51"/>
      <c r="B81" s="26" t="s">
        <v>162</v>
      </c>
      <c r="C81" s="25" t="s">
        <v>162</v>
      </c>
      <c r="D81" s="21">
        <v>8128.78</v>
      </c>
      <c r="E81" s="21">
        <v>5634.17</v>
      </c>
      <c r="F81" s="21">
        <v>14671.22</v>
      </c>
      <c r="G81" s="21">
        <v>6504.53</v>
      </c>
      <c r="H81" s="21"/>
      <c r="I81" s="21"/>
      <c r="J81" s="21"/>
      <c r="K81" s="46"/>
      <c r="L81" s="21"/>
      <c r="M81" s="21"/>
      <c r="N81" s="21"/>
      <c r="O81" s="21"/>
      <c r="P81" s="47">
        <f t="shared" si="1"/>
        <v>34938.7</v>
      </c>
      <c r="Q81" s="48"/>
      <c r="R81" s="86"/>
      <c r="S81" s="48"/>
      <c r="T81" s="48"/>
    </row>
    <row r="82" s="5" customFormat="1" spans="1:20">
      <c r="A82" s="51"/>
      <c r="B82" s="19" t="s">
        <v>163</v>
      </c>
      <c r="C82" s="25" t="s">
        <v>164</v>
      </c>
      <c r="D82" s="21">
        <v>0</v>
      </c>
      <c r="E82" s="21">
        <v>0</v>
      </c>
      <c r="F82" s="21">
        <v>11612.82</v>
      </c>
      <c r="G82" s="21">
        <v>0</v>
      </c>
      <c r="H82" s="21"/>
      <c r="I82" s="21"/>
      <c r="J82" s="21"/>
      <c r="K82" s="46"/>
      <c r="L82" s="21"/>
      <c r="M82" s="21"/>
      <c r="N82" s="21"/>
      <c r="O82" s="21"/>
      <c r="P82" s="47">
        <f t="shared" si="1"/>
        <v>11612.82</v>
      </c>
      <c r="Q82" s="48"/>
      <c r="R82" s="86"/>
      <c r="S82" s="48"/>
      <c r="T82" s="48"/>
    </row>
    <row r="83" s="5" customFormat="1" spans="1:20">
      <c r="A83" s="51"/>
      <c r="B83" s="24"/>
      <c r="C83" s="25" t="s">
        <v>165</v>
      </c>
      <c r="D83" s="21">
        <v>33673.07</v>
      </c>
      <c r="E83" s="21">
        <v>33517.17</v>
      </c>
      <c r="F83" s="21">
        <v>-812.16</v>
      </c>
      <c r="G83" s="21">
        <v>31843.84</v>
      </c>
      <c r="H83" s="21"/>
      <c r="I83" s="21"/>
      <c r="J83" s="21"/>
      <c r="K83" s="46"/>
      <c r="L83" s="21"/>
      <c r="M83" s="21"/>
      <c r="N83" s="21"/>
      <c r="O83" s="21"/>
      <c r="P83" s="47">
        <f t="shared" si="1"/>
        <v>98221.92</v>
      </c>
      <c r="Q83" s="48"/>
      <c r="R83" s="86"/>
      <c r="S83" s="48"/>
      <c r="T83" s="48"/>
    </row>
    <row r="84" s="5" customFormat="1" spans="1:20">
      <c r="A84" s="51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21"/>
      <c r="J84" s="21"/>
      <c r="K84" s="46"/>
      <c r="L84" s="21"/>
      <c r="M84" s="21"/>
      <c r="N84" s="21"/>
      <c r="O84" s="21"/>
      <c r="P84" s="47">
        <f t="shared" si="1"/>
        <v>0</v>
      </c>
      <c r="Q84" s="48"/>
      <c r="R84" s="86"/>
      <c r="S84" s="48"/>
      <c r="T84" s="48"/>
    </row>
    <row r="85" s="5" customFormat="1" spans="1:20">
      <c r="A85" s="51"/>
      <c r="B85" s="26" t="s">
        <v>167</v>
      </c>
      <c r="C85" s="33" t="s">
        <v>167</v>
      </c>
      <c r="D85" s="21"/>
      <c r="E85" s="21">
        <v>0</v>
      </c>
      <c r="F85" s="21">
        <v>0</v>
      </c>
      <c r="G85" s="21">
        <v>0</v>
      </c>
      <c r="H85" s="21"/>
      <c r="I85" s="21"/>
      <c r="J85" s="21"/>
      <c r="K85" s="46"/>
      <c r="L85" s="21"/>
      <c r="M85" s="21"/>
      <c r="N85" s="21"/>
      <c r="O85" s="21"/>
      <c r="P85" s="47">
        <f t="shared" si="1"/>
        <v>0</v>
      </c>
      <c r="Q85" s="48"/>
      <c r="R85" s="86"/>
      <c r="S85" s="48"/>
      <c r="T85" s="48"/>
    </row>
    <row r="86" s="5" customFormat="1" spans="1:20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>
        <v>0</v>
      </c>
      <c r="H86" s="21"/>
      <c r="I86" s="21"/>
      <c r="J86" s="21"/>
      <c r="K86" s="46"/>
      <c r="L86" s="21"/>
      <c r="M86" s="21"/>
      <c r="N86" s="21"/>
      <c r="O86" s="21"/>
      <c r="P86" s="47">
        <f t="shared" si="1"/>
        <v>0</v>
      </c>
      <c r="Q86" s="48"/>
      <c r="R86" s="86"/>
      <c r="S86" s="48"/>
      <c r="T86" s="48"/>
    </row>
    <row r="87" s="5" customFormat="1" spans="1:20">
      <c r="A87" s="52"/>
      <c r="B87" s="26" t="s">
        <v>170</v>
      </c>
      <c r="C87" s="33" t="s">
        <v>170</v>
      </c>
      <c r="D87" s="21"/>
      <c r="E87" s="21">
        <v>0</v>
      </c>
      <c r="F87" s="21">
        <v>0</v>
      </c>
      <c r="G87" s="21">
        <v>0</v>
      </c>
      <c r="H87" s="21"/>
      <c r="I87" s="21"/>
      <c r="J87" s="21"/>
      <c r="K87" s="46"/>
      <c r="L87" s="21"/>
      <c r="M87" s="21"/>
      <c r="N87" s="21"/>
      <c r="O87" s="21"/>
      <c r="P87" s="47">
        <f t="shared" si="1"/>
        <v>0</v>
      </c>
      <c r="Q87" s="48"/>
      <c r="R87" s="86"/>
      <c r="S87" s="48"/>
      <c r="T87" s="48"/>
    </row>
    <row r="88" s="5" customFormat="1" spans="1:20">
      <c r="A88" s="52"/>
      <c r="B88" s="26" t="s">
        <v>171</v>
      </c>
      <c r="C88" s="33" t="s">
        <v>171</v>
      </c>
      <c r="D88" s="21"/>
      <c r="E88" s="21">
        <v>0</v>
      </c>
      <c r="F88" s="21">
        <v>0</v>
      </c>
      <c r="G88" s="21">
        <v>0</v>
      </c>
      <c r="H88" s="21"/>
      <c r="I88" s="21"/>
      <c r="J88" s="21"/>
      <c r="K88" s="46"/>
      <c r="L88" s="21"/>
      <c r="M88" s="21"/>
      <c r="N88" s="21"/>
      <c r="O88" s="21"/>
      <c r="P88" s="47">
        <f t="shared" si="1"/>
        <v>0</v>
      </c>
      <c r="Q88" s="48"/>
      <c r="R88" s="86"/>
      <c r="S88" s="48"/>
      <c r="T88" s="48"/>
    </row>
    <row r="89" s="5" customFormat="1" spans="1:20">
      <c r="A89" s="52"/>
      <c r="B89" s="19" t="s">
        <v>172</v>
      </c>
      <c r="C89" s="32" t="s">
        <v>172</v>
      </c>
      <c r="D89" s="21"/>
      <c r="E89" s="21">
        <v>0</v>
      </c>
      <c r="F89" s="21">
        <v>0</v>
      </c>
      <c r="G89" s="21">
        <v>0</v>
      </c>
      <c r="H89" s="21"/>
      <c r="I89" s="21"/>
      <c r="J89" s="21"/>
      <c r="K89" s="46"/>
      <c r="L89" s="21"/>
      <c r="M89" s="21"/>
      <c r="N89" s="21"/>
      <c r="O89" s="21"/>
      <c r="P89" s="47">
        <f t="shared" si="1"/>
        <v>0</v>
      </c>
      <c r="Q89" s="48"/>
      <c r="R89" s="86"/>
      <c r="S89" s="48"/>
      <c r="T89" s="48"/>
    </row>
    <row r="90" s="5" customFormat="1" spans="1:20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>
        <v>0</v>
      </c>
      <c r="H90" s="21"/>
      <c r="I90" s="21"/>
      <c r="J90" s="21"/>
      <c r="K90" s="46"/>
      <c r="L90" s="21"/>
      <c r="M90" s="21"/>
      <c r="N90" s="21"/>
      <c r="O90" s="21"/>
      <c r="P90" s="47">
        <f t="shared" si="1"/>
        <v>0</v>
      </c>
      <c r="Q90" s="48"/>
      <c r="R90" s="86"/>
      <c r="S90" s="48"/>
      <c r="T90" s="48"/>
    </row>
    <row r="91" s="5" customFormat="1" spans="1:20">
      <c r="A91" s="54"/>
      <c r="B91" s="23" t="s">
        <v>175</v>
      </c>
      <c r="C91" s="55" t="s">
        <v>175</v>
      </c>
      <c r="D91" s="21"/>
      <c r="E91" s="21">
        <v>0</v>
      </c>
      <c r="F91" s="21">
        <v>0</v>
      </c>
      <c r="G91" s="21">
        <v>0</v>
      </c>
      <c r="H91" s="21"/>
      <c r="I91" s="21"/>
      <c r="J91" s="21"/>
      <c r="K91" s="46"/>
      <c r="L91" s="21"/>
      <c r="M91" s="21"/>
      <c r="N91" s="21"/>
      <c r="O91" s="21"/>
      <c r="P91" s="47">
        <f t="shared" si="1"/>
        <v>0</v>
      </c>
      <c r="Q91" s="48"/>
      <c r="R91" s="86"/>
      <c r="S91" s="48"/>
      <c r="T91" s="48"/>
    </row>
    <row r="92" s="5" customFormat="1" spans="1:20">
      <c r="A92" s="56"/>
      <c r="B92" s="26" t="s">
        <v>83</v>
      </c>
      <c r="C92" s="33" t="s">
        <v>83</v>
      </c>
      <c r="D92" s="21"/>
      <c r="E92" s="21"/>
      <c r="F92" s="21">
        <v>124.86</v>
      </c>
      <c r="G92" s="21">
        <v>4.54</v>
      </c>
      <c r="H92" s="21"/>
      <c r="I92" s="21"/>
      <c r="J92" s="21"/>
      <c r="K92" s="46"/>
      <c r="L92" s="21"/>
      <c r="M92" s="21"/>
      <c r="N92" s="21"/>
      <c r="O92" s="21"/>
      <c r="P92" s="47">
        <f t="shared" si="1"/>
        <v>129.4</v>
      </c>
      <c r="Q92" s="48"/>
      <c r="R92" s="86"/>
      <c r="S92" s="48"/>
      <c r="T92" s="48"/>
    </row>
    <row r="93" s="6" customFormat="1" spans="1:20">
      <c r="A93" s="57" t="s">
        <v>12</v>
      </c>
      <c r="B93" s="57"/>
      <c r="C93" s="57"/>
      <c r="D93" s="58">
        <f>SUM(D6:D92)</f>
        <v>25346210.73</v>
      </c>
      <c r="E93" s="58">
        <f t="shared" ref="E93:O93" si="2">SUM(E6:E92)</f>
        <v>24017926.6400001</v>
      </c>
      <c r="F93" s="58">
        <f t="shared" si="2"/>
        <v>28577553.09</v>
      </c>
      <c r="G93" s="58">
        <f>SUM(G6:G92)</f>
        <v>31010685.9900001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74">
        <f t="shared" ref="K93" si="3">SUM(K6:K92)</f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108952376.45</v>
      </c>
      <c r="Q93" s="47"/>
      <c r="R93" s="86"/>
      <c r="S93" s="48"/>
      <c r="T93" s="48"/>
    </row>
    <row r="94" s="7" customFormat="1" ht="15" customHeight="1" spans="1:20">
      <c r="A94" s="59" t="s">
        <v>387</v>
      </c>
      <c r="B94" s="59"/>
      <c r="C94" s="59"/>
      <c r="D94" s="21">
        <v>5383491.65</v>
      </c>
      <c r="E94" s="21">
        <v>6508704.65000002</v>
      </c>
      <c r="F94" s="21">
        <v>6643515.9</v>
      </c>
      <c r="G94" s="21">
        <v>6197907.20999999</v>
      </c>
      <c r="H94" s="21"/>
      <c r="I94" s="21"/>
      <c r="J94" s="21"/>
      <c r="K94" s="46"/>
      <c r="L94" s="21"/>
      <c r="M94" s="21"/>
      <c r="N94" s="21"/>
      <c r="O94" s="21"/>
      <c r="P94" s="47">
        <f t="shared" si="1"/>
        <v>24733619.41</v>
      </c>
      <c r="Q94" s="91"/>
      <c r="R94" s="86"/>
      <c r="S94" s="48"/>
      <c r="T94" s="48"/>
    </row>
    <row r="95" s="7" customFormat="1" ht="15" customHeight="1" spans="1:20">
      <c r="A95" s="59" t="s">
        <v>178</v>
      </c>
      <c r="B95" s="59"/>
      <c r="C95" s="59"/>
      <c r="D95" s="21">
        <v>14968381.5</v>
      </c>
      <c r="E95" s="21">
        <v>12688706.8400001</v>
      </c>
      <c r="F95" s="21">
        <f>16264576.8-44.2</f>
        <v>16264532.6</v>
      </c>
      <c r="G95" s="87">
        <v>18037326.3100001</v>
      </c>
      <c r="H95" s="21"/>
      <c r="I95" s="21"/>
      <c r="J95" s="21"/>
      <c r="K95" s="46"/>
      <c r="L95" s="21"/>
      <c r="M95" s="21"/>
      <c r="N95" s="21"/>
      <c r="O95" s="21"/>
      <c r="P95" s="47">
        <f t="shared" si="1"/>
        <v>61958947.2500002</v>
      </c>
      <c r="Q95" s="91"/>
      <c r="R95" s="86"/>
      <c r="S95" s="48"/>
      <c r="T95" s="48"/>
    </row>
    <row r="96" s="7" customFormat="1" ht="15" customHeight="1" spans="1:20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46"/>
      <c r="L96" s="21"/>
      <c r="M96" s="21"/>
      <c r="N96" s="21"/>
      <c r="O96" s="21"/>
      <c r="P96" s="47">
        <f t="shared" si="1"/>
        <v>0</v>
      </c>
      <c r="Q96" s="91"/>
      <c r="R96" s="86"/>
      <c r="S96" s="48"/>
      <c r="T96" s="48"/>
    </row>
    <row r="97" s="7" customFormat="1" ht="15" customHeight="1" spans="1:20">
      <c r="A97" s="61" t="s">
        <v>180</v>
      </c>
      <c r="B97" s="62"/>
      <c r="C97" s="63"/>
      <c r="D97" s="21">
        <v>4994337.58</v>
      </c>
      <c r="E97" s="21">
        <v>4820515.14999998</v>
      </c>
      <c r="F97" s="21">
        <v>5669504.59</v>
      </c>
      <c r="G97" s="87">
        <v>6775452.47</v>
      </c>
      <c r="H97" s="21"/>
      <c r="I97" s="21"/>
      <c r="J97" s="21"/>
      <c r="K97" s="46"/>
      <c r="L97" s="21"/>
      <c r="M97" s="21"/>
      <c r="N97" s="21"/>
      <c r="O97" s="21"/>
      <c r="P97" s="47">
        <f t="shared" si="1"/>
        <v>22259809.79</v>
      </c>
      <c r="Q97" s="91"/>
      <c r="R97" s="86"/>
      <c r="S97" s="48"/>
      <c r="T97" s="48"/>
    </row>
    <row r="98" s="7" customFormat="1" ht="12.75" customHeight="1" spans="1:18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  <c r="R98" s="86"/>
    </row>
    <row r="99" s="7" customFormat="1" ht="15" customHeight="1" spans="1:16">
      <c r="A99" s="8"/>
      <c r="B99" s="8"/>
      <c r="C99" s="8"/>
      <c r="D99" s="8"/>
      <c r="E99" s="8"/>
      <c r="F99" s="8"/>
      <c r="G99" s="8"/>
      <c r="H99" s="9"/>
      <c r="I99" s="9"/>
      <c r="J99" s="8"/>
      <c r="K99" s="8"/>
      <c r="L99" s="8"/>
      <c r="M99" s="8"/>
      <c r="N99" s="8"/>
      <c r="O99" s="8"/>
      <c r="P99" s="8"/>
    </row>
    <row r="100" spans="1:16">
      <c r="A100" s="9"/>
      <c r="B100" s="9"/>
      <c r="C100" s="9"/>
      <c r="D100" s="64">
        <f>D93-SUM(D94:D97)</f>
        <v>-3.35276126861572e-8</v>
      </c>
      <c r="E100" s="64">
        <f>E93-SUM(E94:E97)</f>
        <v>4.4703483581543e-8</v>
      </c>
      <c r="F100" s="64">
        <f>F93-SUM(F94:F97)</f>
        <v>0</v>
      </c>
      <c r="G100" s="64">
        <f t="shared" ref="G100:O100" si="4">G93-SUM(G94:G97)</f>
        <v>0</v>
      </c>
      <c r="H100" s="64">
        <f t="shared" si="4"/>
        <v>0</v>
      </c>
      <c r="I100" s="64">
        <f t="shared" si="4"/>
        <v>0</v>
      </c>
      <c r="J100" s="64">
        <f t="shared" si="4"/>
        <v>0</v>
      </c>
      <c r="K100" s="64">
        <f t="shared" si="4"/>
        <v>0</v>
      </c>
      <c r="L100" s="64">
        <f t="shared" si="4"/>
        <v>0</v>
      </c>
      <c r="M100" s="64">
        <f t="shared" si="4"/>
        <v>0</v>
      </c>
      <c r="N100" s="64">
        <f t="shared" si="4"/>
        <v>0</v>
      </c>
      <c r="O100" s="64">
        <f t="shared" si="4"/>
        <v>0</v>
      </c>
      <c r="P100" s="90" t="str">
        <f t="shared" ref="P100" si="5">IF(SUM(P94:P98)=P93,"ok","no")</f>
        <v>ok</v>
      </c>
    </row>
    <row r="101" spans="1:16">
      <c r="A101" s="9"/>
      <c r="B101" s="9" t="s">
        <v>392</v>
      </c>
      <c r="C101" s="9"/>
      <c r="D101" s="9"/>
      <c r="E101" s="65"/>
      <c r="F101" s="88"/>
      <c r="G101" s="65"/>
      <c r="H101" s="9"/>
      <c r="I101" s="9"/>
      <c r="J101" s="65"/>
      <c r="K101" s="67"/>
      <c r="L101" s="67"/>
      <c r="M101" s="9"/>
      <c r="N101" s="9"/>
      <c r="O101" s="9"/>
      <c r="P101" s="9"/>
    </row>
    <row r="102" spans="1:16">
      <c r="A102" s="9"/>
      <c r="B102" s="9" t="s">
        <v>393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5:16">
      <c r="E103" s="66"/>
      <c r="H103" s="89"/>
      <c r="P103" s="10">
        <v>42123036.36</v>
      </c>
    </row>
    <row r="104" spans="8:16">
      <c r="H104" s="89"/>
      <c r="P104" s="68">
        <f>P103-P93</f>
        <v>-66829340.0900002</v>
      </c>
    </row>
    <row r="105" spans="6:8">
      <c r="F105" s="80">
        <v>28577553.09</v>
      </c>
      <c r="H105" s="89"/>
    </row>
    <row r="106" spans="4:6">
      <c r="D106" s="68"/>
      <c r="E106" s="80"/>
      <c r="F106" s="68">
        <f>F93-F105</f>
        <v>0</v>
      </c>
    </row>
  </sheetData>
  <autoFilter ref="A5:Q98">
    <extLst/>
  </autoFilter>
  <mergeCells count="37">
    <mergeCell ref="A1:P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A34:C34 O34 P33 U34:XFD34">
    <cfRule type="cellIs" dxfId="0" priority="12" stopIfTrue="1" operator="equal">
      <formula>"no"</formula>
    </cfRule>
    <cfRule type="cellIs" dxfId="0" priority="14" stopIfTrue="1" operator="equal">
      <formula>"no"</formula>
    </cfRule>
  </conditionalFormatting>
  <conditionalFormatting sqref="P33 U34:XFD34 O34 A34:C34">
    <cfRule type="cellIs" dxfId="0" priority="13" stopIfTrue="1" operator="equal">
      <formula>"no"</formula>
    </cfRule>
  </conditionalFormatting>
  <conditionalFormatting sqref="H34:J34 A34:C34 L34:Q34 T34:XFD34">
    <cfRule type="cellIs" dxfId="0" priority="22" stopIfTrue="1" operator="equal">
      <formula>"no"</formula>
    </cfRule>
  </conditionalFormatting>
  <conditionalFormatting sqref="O34:P34 A34:C34 J34 L34 G34">
    <cfRule type="cellIs" dxfId="0" priority="11" stopIfTrue="1" operator="equal">
      <formula>"no"</formula>
    </cfRule>
  </conditionalFormatting>
  <conditionalFormatting sqref="A99:G99 J99:P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D87" activePane="bottomRight" state="frozen"/>
      <selection/>
      <selection pane="topRight"/>
      <selection pane="bottomLeft"/>
      <selection pane="bottomRight" activeCell="H16" sqref="H1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410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467764.78</v>
      </c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467764.78</v>
      </c>
      <c r="Q6" s="48">
        <f>P6+P7+P8+P19+P22+P23+P24+P25+P26</f>
        <v>801416.96</v>
      </c>
    </row>
    <row r="7" s="5" customFormat="1" ht="17.25" customHeight="1" spans="1:16">
      <c r="A7" s="22"/>
      <c r="B7" s="23"/>
      <c r="C7" s="20" t="s">
        <v>71</v>
      </c>
      <c r="D7" s="21">
        <v>218204.43</v>
      </c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218204.43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>
        <v>400</v>
      </c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400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26864</v>
      </c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26864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55512.64</v>
      </c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55512.64</v>
      </c>
    </row>
    <row r="23" s="5" customFormat="1" ht="17.25" customHeight="1" spans="1:16">
      <c r="A23" s="22"/>
      <c r="B23" s="24"/>
      <c r="C23" s="25" t="s">
        <v>89</v>
      </c>
      <c r="D23" s="21">
        <v>1733.62</v>
      </c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1733.62</v>
      </c>
    </row>
    <row r="24" s="5" customFormat="1" ht="17.25" customHeight="1" spans="1:16">
      <c r="A24" s="22"/>
      <c r="B24" s="24"/>
      <c r="C24" s="25" t="s">
        <v>90</v>
      </c>
      <c r="D24" s="21">
        <v>1743.75</v>
      </c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1743.75</v>
      </c>
    </row>
    <row r="25" s="5" customFormat="1" ht="17.25" customHeight="1" spans="1:16">
      <c r="A25" s="22"/>
      <c r="B25" s="24"/>
      <c r="C25" s="25" t="s">
        <v>91</v>
      </c>
      <c r="D25" s="21">
        <v>26202.75</v>
      </c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26202.75</v>
      </c>
    </row>
    <row r="26" s="5" customFormat="1" ht="17.25" customHeight="1" spans="1:16">
      <c r="A26" s="22"/>
      <c r="B26" s="23"/>
      <c r="C26" s="25" t="s">
        <v>92</v>
      </c>
      <c r="D26" s="21">
        <v>3390.99</v>
      </c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3390.99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>
        <v>174.2</v>
      </c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174.2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51486.23</v>
      </c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51486.23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471.8</v>
      </c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471.8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1991663.22</v>
      </c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1991663.22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>
        <v>10752</v>
      </c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10752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1784.34</v>
      </c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1784.34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26421.55</v>
      </c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26421.55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98336.89</v>
      </c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98336.89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2147.81</v>
      </c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2147.81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2985055</v>
      </c>
      <c r="E93" s="58">
        <f t="shared" ref="E93:O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2985055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>
        <f>D93</f>
        <v>2985055</v>
      </c>
      <c r="E95" s="21">
        <f t="shared" ref="E95:P95" si="3">E93</f>
        <v>0</v>
      </c>
      <c r="F95" s="21">
        <f t="shared" si="3"/>
        <v>0</v>
      </c>
      <c r="G95" s="21">
        <f t="shared" si="3"/>
        <v>0</v>
      </c>
      <c r="H95" s="21">
        <f t="shared" si="3"/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3"/>
        <v>2985055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16435960.75</v>
      </c>
    </row>
    <row r="105" spans="4:4">
      <c r="D105" s="68"/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A34:C34 O34:XFD34 F34:G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5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411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412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282312.65</v>
      </c>
      <c r="E6" s="21">
        <v>163743.81</v>
      </c>
      <c r="F6" s="21">
        <v>265365.64</v>
      </c>
      <c r="G6" s="21">
        <v>229844.96</v>
      </c>
      <c r="H6" s="21"/>
      <c r="I6" s="46"/>
      <c r="J6" s="21"/>
      <c r="K6" s="21"/>
      <c r="L6" s="21"/>
      <c r="M6" s="21"/>
      <c r="N6" s="21"/>
      <c r="O6" s="21"/>
      <c r="P6" s="47">
        <f>SUM(D6:O6)</f>
        <v>941267.06</v>
      </c>
      <c r="Q6" s="48">
        <f>P6+P7+P8+P19+P22+P23+P24+P25+P26</f>
        <v>1035222.56</v>
      </c>
    </row>
    <row r="7" s="5" customFormat="1" ht="17.25" customHeight="1" spans="1:16">
      <c r="A7" s="22"/>
      <c r="B7" s="23"/>
      <c r="C7" s="20" t="s">
        <v>71</v>
      </c>
      <c r="D7" s="21">
        <v>20914</v>
      </c>
      <c r="E7" s="21">
        <v>2134</v>
      </c>
      <c r="F7" s="21">
        <v>2914</v>
      </c>
      <c r="G7" s="21">
        <v>2914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28876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 t="s">
        <v>238</v>
      </c>
      <c r="F8" s="21" t="s">
        <v>238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 t="s">
        <v>238</v>
      </c>
      <c r="F9" s="21" t="s">
        <v>238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 t="s">
        <v>238</v>
      </c>
      <c r="F10" s="21" t="s">
        <v>238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 t="s">
        <v>238</v>
      </c>
      <c r="F11" s="21">
        <v>2510</v>
      </c>
      <c r="G11" s="21">
        <v>2000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4510</v>
      </c>
    </row>
    <row r="12" s="5" customFormat="1" ht="17.25" customHeight="1" spans="1:16">
      <c r="A12" s="22"/>
      <c r="B12" s="24"/>
      <c r="C12" s="20" t="s">
        <v>77</v>
      </c>
      <c r="D12" s="21"/>
      <c r="E12" s="21" t="s">
        <v>238</v>
      </c>
      <c r="F12" s="21" t="s">
        <v>238</v>
      </c>
      <c r="G12" s="21">
        <v>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>
        <v>309</v>
      </c>
      <c r="E13" s="21" t="s">
        <v>238</v>
      </c>
      <c r="F13" s="21">
        <v>46</v>
      </c>
      <c r="G13" s="21">
        <v>149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504</v>
      </c>
    </row>
    <row r="14" s="5" customFormat="1" ht="17.25" customHeight="1" spans="1:16">
      <c r="A14" s="22"/>
      <c r="B14" s="24"/>
      <c r="C14" s="20" t="s">
        <v>79</v>
      </c>
      <c r="D14" s="21"/>
      <c r="E14" s="21" t="s">
        <v>238</v>
      </c>
      <c r="F14" s="21" t="s">
        <v>238</v>
      </c>
      <c r="G14" s="21">
        <v>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 t="s">
        <v>238</v>
      </c>
      <c r="F15" s="21" t="s">
        <v>238</v>
      </c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 t="s">
        <v>238</v>
      </c>
      <c r="F16" s="21" t="s">
        <v>238</v>
      </c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 t="s">
        <v>238</v>
      </c>
      <c r="F17" s="21" t="s">
        <v>238</v>
      </c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>
        <v>315.63</v>
      </c>
      <c r="E18" s="21" t="s">
        <v>238</v>
      </c>
      <c r="F18" s="21" t="s">
        <v>238</v>
      </c>
      <c r="G18" s="21">
        <v>2900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3215.63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1338</v>
      </c>
      <c r="E19" s="21">
        <v>1338</v>
      </c>
      <c r="F19" s="21">
        <v>6138</v>
      </c>
      <c r="G19" s="21">
        <v>6738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15552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 t="s">
        <v>238</v>
      </c>
      <c r="F20" s="21" t="s">
        <v>238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 t="s">
        <v>238</v>
      </c>
      <c r="F21" s="21" t="s">
        <v>238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19817.99</v>
      </c>
      <c r="E22" s="21">
        <v>19817.92</v>
      </c>
      <c r="F22" s="21">
        <v>-18343.36</v>
      </c>
      <c r="G22" s="21">
        <v>-1474.56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19817.99</v>
      </c>
    </row>
    <row r="23" s="5" customFormat="1" ht="17.25" customHeight="1" spans="1:16">
      <c r="A23" s="22"/>
      <c r="B23" s="24"/>
      <c r="C23" s="25" t="s">
        <v>89</v>
      </c>
      <c r="D23" s="21">
        <v>619.23</v>
      </c>
      <c r="E23" s="21">
        <v>619.5</v>
      </c>
      <c r="F23" s="21">
        <v>-573.42</v>
      </c>
      <c r="G23" s="21">
        <v>-46.08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619.23</v>
      </c>
    </row>
    <row r="24" s="5" customFormat="1" ht="17.25" customHeight="1" spans="1:16">
      <c r="A24" s="22"/>
      <c r="B24" s="24"/>
      <c r="C24" s="25" t="s">
        <v>90</v>
      </c>
      <c r="D24" s="21">
        <v>1150.95</v>
      </c>
      <c r="E24" s="21">
        <v>1150.99</v>
      </c>
      <c r="F24" s="21">
        <v>-1117.57</v>
      </c>
      <c r="G24" s="21">
        <v>-9.42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1174.95</v>
      </c>
    </row>
    <row r="25" s="5" customFormat="1" ht="17.25" customHeight="1" spans="1:16">
      <c r="A25" s="22"/>
      <c r="B25" s="24"/>
      <c r="C25" s="25" t="s">
        <v>91</v>
      </c>
      <c r="D25" s="21">
        <v>13687.4</v>
      </c>
      <c r="E25" s="21">
        <v>9219.56</v>
      </c>
      <c r="F25" s="21">
        <v>149.64</v>
      </c>
      <c r="G25" s="21">
        <v>4766.57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27823.17</v>
      </c>
    </row>
    <row r="26" s="5" customFormat="1" ht="17.25" customHeight="1" spans="1:16">
      <c r="A26" s="22"/>
      <c r="B26" s="23"/>
      <c r="C26" s="25" t="s">
        <v>92</v>
      </c>
      <c r="D26" s="21">
        <v>92.16</v>
      </c>
      <c r="E26" s="21" t="s">
        <v>238</v>
      </c>
      <c r="F26" s="21" t="s">
        <v>238</v>
      </c>
      <c r="G26" s="21">
        <v>0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92.16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 t="s">
        <v>238</v>
      </c>
      <c r="F27" s="21" t="s">
        <v>238</v>
      </c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 t="s">
        <v>238</v>
      </c>
      <c r="F28" s="21" t="s">
        <v>238</v>
      </c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 t="s">
        <v>238</v>
      </c>
      <c r="F29" s="21" t="s">
        <v>238</v>
      </c>
      <c r="G29" s="21">
        <v>640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640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 t="s">
        <v>238</v>
      </c>
      <c r="F30" s="21" t="s">
        <v>238</v>
      </c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 t="s">
        <v>238</v>
      </c>
      <c r="F31" s="21" t="s">
        <v>238</v>
      </c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 t="s">
        <v>238</v>
      </c>
      <c r="F32" s="21" t="s">
        <v>238</v>
      </c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 t="s">
        <v>238</v>
      </c>
      <c r="F33" s="21" t="s">
        <v>238</v>
      </c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>
        <v>976</v>
      </c>
      <c r="E34" s="21" t="s">
        <v>238</v>
      </c>
      <c r="F34" s="21" t="s">
        <v>238</v>
      </c>
      <c r="G34" s="21">
        <v>2280.88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3256.88</v>
      </c>
    </row>
    <row r="35" s="5" customFormat="1" ht="17.25" customHeight="1" spans="1:16">
      <c r="A35" s="28"/>
      <c r="B35" s="23"/>
      <c r="C35" s="25" t="s">
        <v>105</v>
      </c>
      <c r="D35" s="21"/>
      <c r="E35" s="21" t="s">
        <v>238</v>
      </c>
      <c r="F35" s="21" t="s">
        <v>238</v>
      </c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>
        <v>800</v>
      </c>
      <c r="E36" s="21" t="s">
        <v>238</v>
      </c>
      <c r="F36" s="21" t="s">
        <v>238</v>
      </c>
      <c r="G36" s="21">
        <v>0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800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 t="s">
        <v>238</v>
      </c>
      <c r="F37" s="21">
        <v>426</v>
      </c>
      <c r="G37" s="21">
        <v>0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426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 t="s">
        <v>238</v>
      </c>
      <c r="F38" s="21" t="s">
        <v>238</v>
      </c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 t="s">
        <v>238</v>
      </c>
      <c r="F39" s="21" t="s">
        <v>238</v>
      </c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 t="s">
        <v>238</v>
      </c>
      <c r="F40" s="21" t="s">
        <v>238</v>
      </c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48617.54</v>
      </c>
      <c r="E41" s="21">
        <v>21675.89</v>
      </c>
      <c r="F41" s="21">
        <v>176969.84</v>
      </c>
      <c r="G41" s="21">
        <v>278599.61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525862.88</v>
      </c>
    </row>
    <row r="42" s="5" customFormat="1" ht="17.25" customHeight="1" spans="1:16">
      <c r="A42" s="31"/>
      <c r="B42" s="19" t="s">
        <v>114</v>
      </c>
      <c r="C42" s="32" t="s">
        <v>114</v>
      </c>
      <c r="D42" s="21"/>
      <c r="E42" s="21" t="s">
        <v>238</v>
      </c>
      <c r="F42" s="21">
        <v>45079.82</v>
      </c>
      <c r="G42" s="21">
        <v>127.43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45207.25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 t="s">
        <v>238</v>
      </c>
      <c r="F43" s="21" t="s">
        <v>238</v>
      </c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 t="s">
        <v>238</v>
      </c>
      <c r="F44" s="21" t="s">
        <v>238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 t="s">
        <v>238</v>
      </c>
      <c r="F45" s="21" t="s">
        <v>238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189616.11</v>
      </c>
      <c r="E46" s="21">
        <v>191498.17</v>
      </c>
      <c r="F46" s="21">
        <v>182244.87</v>
      </c>
      <c r="G46" s="21">
        <v>183141.7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746500.85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 t="s">
        <v>238</v>
      </c>
      <c r="F47" s="21" t="s">
        <v>238</v>
      </c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 t="s">
        <v>238</v>
      </c>
      <c r="F48" s="21" t="s">
        <v>238</v>
      </c>
      <c r="G48" s="21">
        <v>3000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3000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 t="s">
        <v>238</v>
      </c>
      <c r="F49" s="21" t="s">
        <v>238</v>
      </c>
      <c r="G49" s="21">
        <v>0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 t="s">
        <v>238</v>
      </c>
      <c r="F50" s="21" t="s">
        <v>238</v>
      </c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 t="s">
        <v>238</v>
      </c>
      <c r="F51" s="21" t="s">
        <v>238</v>
      </c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 t="s">
        <v>238</v>
      </c>
      <c r="F52" s="21" t="s">
        <v>238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>
        <v>-120</v>
      </c>
      <c r="E53" s="21" t="s">
        <v>238</v>
      </c>
      <c r="F53" s="21" t="s">
        <v>238</v>
      </c>
      <c r="G53" s="21">
        <v>0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-120</v>
      </c>
    </row>
    <row r="54" s="5" customFormat="1" ht="17.25" customHeight="1" spans="1:16">
      <c r="A54" s="36"/>
      <c r="B54" s="23"/>
      <c r="C54" s="33" t="s">
        <v>83</v>
      </c>
      <c r="D54" s="21"/>
      <c r="E54" s="21" t="s">
        <v>238</v>
      </c>
      <c r="F54" s="21" t="s">
        <v>238</v>
      </c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 t="s">
        <v>238</v>
      </c>
      <c r="F55" s="21" t="s">
        <v>238</v>
      </c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 t="s">
        <v>238</v>
      </c>
      <c r="F56" s="21" t="s">
        <v>238</v>
      </c>
      <c r="G56" s="21">
        <v>0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 t="s">
        <v>238</v>
      </c>
      <c r="F57" s="21" t="s">
        <v>238</v>
      </c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 t="s">
        <v>238</v>
      </c>
      <c r="F58" s="21" t="s">
        <v>238</v>
      </c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 t="s">
        <v>238</v>
      </c>
      <c r="F59" s="21" t="s">
        <v>238</v>
      </c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 t="s">
        <v>238</v>
      </c>
      <c r="F60" s="21" t="s">
        <v>238</v>
      </c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 t="s">
        <v>238</v>
      </c>
      <c r="F61" s="21" t="s">
        <v>238</v>
      </c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 t="s">
        <v>238</v>
      </c>
      <c r="F62" s="21" t="s">
        <v>238</v>
      </c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6424.78</v>
      </c>
      <c r="E63" s="21">
        <v>7096.46</v>
      </c>
      <c r="F63" s="21">
        <v>8533.26</v>
      </c>
      <c r="G63" s="21">
        <v>8751.32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30805.82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3580</v>
      </c>
      <c r="E64" s="21">
        <v>2500</v>
      </c>
      <c r="F64" s="21">
        <v>1000</v>
      </c>
      <c r="G64" s="21">
        <v>79.22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7159.22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184476.12</v>
      </c>
      <c r="E65" s="21">
        <v>141514.98</v>
      </c>
      <c r="F65" s="21">
        <v>122049.48</v>
      </c>
      <c r="G65" s="21">
        <v>184111.96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632152.54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 t="s">
        <v>238</v>
      </c>
      <c r="F66" s="21" t="s">
        <v>238</v>
      </c>
      <c r="G66" s="21">
        <v>50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50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v>317091.74</v>
      </c>
      <c r="E67" s="21">
        <v>67654.13</v>
      </c>
      <c r="F67" s="21">
        <v>300674.31</v>
      </c>
      <c r="G67" s="21">
        <v>231582.57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917002.75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 t="s">
        <v>238</v>
      </c>
      <c r="F68" s="21" t="s">
        <v>238</v>
      </c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 t="s">
        <v>238</v>
      </c>
      <c r="F69" s="21" t="s">
        <v>238</v>
      </c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 t="s">
        <v>238</v>
      </c>
      <c r="F70" s="21" t="s">
        <v>238</v>
      </c>
      <c r="G70" s="21">
        <v>0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 t="s">
        <v>238</v>
      </c>
      <c r="F71" s="21" t="s">
        <v>238</v>
      </c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 t="s">
        <v>238</v>
      </c>
      <c r="F72" s="21" t="s">
        <v>238</v>
      </c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 t="s">
        <v>238</v>
      </c>
      <c r="F73" s="21" t="s">
        <v>238</v>
      </c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 t="s">
        <v>238</v>
      </c>
      <c r="F74" s="21" t="s">
        <v>238</v>
      </c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>
        <v>450</v>
      </c>
      <c r="E75" s="21" t="s">
        <v>238</v>
      </c>
      <c r="F75" s="21" t="s">
        <v>238</v>
      </c>
      <c r="G75" s="21">
        <v>400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850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 t="s">
        <v>238</v>
      </c>
      <c r="F76" s="21" t="s">
        <v>238</v>
      </c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>
        <v>28301.89</v>
      </c>
      <c r="E77" s="21" t="s">
        <v>238</v>
      </c>
      <c r="F77" s="21" t="s">
        <v>238</v>
      </c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28301.89</v>
      </c>
    </row>
    <row r="78" s="5" customFormat="1" ht="17.25" customHeight="1" spans="1:16">
      <c r="A78" s="50"/>
      <c r="B78" s="23"/>
      <c r="C78" s="49" t="s">
        <v>158</v>
      </c>
      <c r="D78" s="21"/>
      <c r="E78" s="21" t="s">
        <v>238</v>
      </c>
      <c r="F78" s="21" t="s">
        <v>238</v>
      </c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 t="s">
        <v>238</v>
      </c>
      <c r="F79" s="21" t="s">
        <v>238</v>
      </c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2498</v>
      </c>
      <c r="E80" s="21">
        <v>1100.55</v>
      </c>
      <c r="F80" s="21">
        <v>5035.38</v>
      </c>
      <c r="G80" s="21">
        <v>2385.16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11019.09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 t="s">
        <v>238</v>
      </c>
      <c r="F81" s="21" t="s">
        <v>238</v>
      </c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 t="s">
        <v>238</v>
      </c>
      <c r="F82" s="21" t="s">
        <v>238</v>
      </c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 t="s">
        <v>238</v>
      </c>
      <c r="F83" s="21" t="s">
        <v>238</v>
      </c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 t="s">
        <v>238</v>
      </c>
      <c r="F84" s="21" t="s">
        <v>238</v>
      </c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 t="s">
        <v>238</v>
      </c>
      <c r="F85" s="21" t="s">
        <v>238</v>
      </c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 t="s">
        <v>238</v>
      </c>
      <c r="F86" s="21" t="s">
        <v>238</v>
      </c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 t="s">
        <v>238</v>
      </c>
      <c r="F87" s="21" t="s">
        <v>238</v>
      </c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 t="s">
        <v>238</v>
      </c>
      <c r="F88" s="21" t="s">
        <v>238</v>
      </c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 t="s">
        <v>238</v>
      </c>
      <c r="F89" s="21" t="s">
        <v>238</v>
      </c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 t="s">
        <v>238</v>
      </c>
      <c r="F90" s="21" t="s">
        <v>238</v>
      </c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 t="s">
        <v>238</v>
      </c>
      <c r="F91" s="21" t="s">
        <v>238</v>
      </c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55431.87</v>
      </c>
      <c r="E92" s="21">
        <v>64690.33</v>
      </c>
      <c r="F92" s="21">
        <v>59917.5</v>
      </c>
      <c r="G92" s="21">
        <v>94634.24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274673.94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1178701.06</v>
      </c>
      <c r="E93" s="58">
        <f t="shared" ref="E93:O93" si="2">SUM(E6:E92)</f>
        <v>695754.29</v>
      </c>
      <c r="F93" s="58">
        <f t="shared" si="2"/>
        <v>1159019.39</v>
      </c>
      <c r="G93" s="58">
        <f>SUM(G6:G92)</f>
        <v>1237566.56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4271041.3</v>
      </c>
    </row>
    <row r="94" s="7" customFormat="1" ht="15" customHeight="1" spans="1:16">
      <c r="A94" s="77" t="s">
        <v>387</v>
      </c>
      <c r="B94" s="77"/>
      <c r="C94" s="77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77" t="s">
        <v>178</v>
      </c>
      <c r="B95" s="77"/>
      <c r="C95" s="77"/>
      <c r="D95" s="21">
        <f>D93</f>
        <v>1178701.06</v>
      </c>
      <c r="E95" s="21">
        <f>E93</f>
        <v>695754.29</v>
      </c>
      <c r="F95" s="21">
        <f>F93</f>
        <v>1159019.39</v>
      </c>
      <c r="G95" s="21">
        <f>G93</f>
        <v>1237566.56</v>
      </c>
      <c r="H95" s="21">
        <f t="shared" ref="H95:O95" si="3">H93</f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4271041.3</v>
      </c>
    </row>
    <row r="96" s="7" customFormat="1" ht="15" customHeight="1" spans="1:16">
      <c r="A96" s="77" t="s">
        <v>179</v>
      </c>
      <c r="B96" s="77"/>
      <c r="C96" s="77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77" t="s">
        <v>180</v>
      </c>
      <c r="B97" s="77"/>
      <c r="C97" s="77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8" customFormat="1" ht="16.5" customHeight="1" spans="8:9">
      <c r="H98" s="9"/>
      <c r="I98" s="9"/>
    </row>
    <row r="99" s="9" customFormat="1" ht="16.5" customHeight="1" spans="4:15">
      <c r="D99" s="64" t="b">
        <f>D93=SUM(D94:D97)</f>
        <v>1</v>
      </c>
      <c r="E99" s="64" t="b">
        <f t="shared" ref="E99:O99" si="4">E93=SUM(E94:E97)</f>
        <v>1</v>
      </c>
      <c r="F99" s="64" t="b">
        <f t="shared" si="4"/>
        <v>1</v>
      </c>
      <c r="G99" s="64" t="b">
        <f t="shared" si="4"/>
        <v>1</v>
      </c>
      <c r="H99" s="64" t="b">
        <f t="shared" si="4"/>
        <v>1</v>
      </c>
      <c r="I99" s="64" t="b">
        <f t="shared" si="4"/>
        <v>1</v>
      </c>
      <c r="J99" s="64" t="b">
        <f t="shared" si="4"/>
        <v>1</v>
      </c>
      <c r="K99" s="64" t="b">
        <f t="shared" si="4"/>
        <v>1</v>
      </c>
      <c r="L99" s="64" t="b">
        <f t="shared" si="4"/>
        <v>1</v>
      </c>
      <c r="M99" s="64" t="b">
        <f t="shared" si="4"/>
        <v>1</v>
      </c>
      <c r="N99" s="64" t="b">
        <f t="shared" si="4"/>
        <v>1</v>
      </c>
      <c r="O99" s="64" t="b">
        <f t="shared" si="4"/>
        <v>1</v>
      </c>
    </row>
    <row r="100" s="9" customFormat="1" spans="2:12">
      <c r="B100" s="9" t="s">
        <v>392</v>
      </c>
      <c r="E100" s="65"/>
      <c r="F100" s="65"/>
      <c r="G100" s="65"/>
      <c r="J100" s="65"/>
      <c r="K100" s="67"/>
      <c r="L100" s="67"/>
    </row>
    <row r="101" s="9" customFormat="1" spans="2:16">
      <c r="B101" s="9" t="s">
        <v>393</v>
      </c>
      <c r="P101" s="9">
        <v>19421015.75</v>
      </c>
    </row>
    <row r="102" spans="16:16">
      <c r="P102" s="68">
        <f>P101-P93</f>
        <v>15149974.45</v>
      </c>
    </row>
    <row r="105" spans="6:12">
      <c r="F105" s="66"/>
      <c r="G105" s="66"/>
      <c r="L105" s="66"/>
    </row>
  </sheetData>
  <autoFilter ref="A5:Q102">
    <extLst/>
  </autoFilter>
  <mergeCells count="36">
    <mergeCell ref="A1:N1"/>
    <mergeCell ref="D4:O4"/>
    <mergeCell ref="A93:C93"/>
    <mergeCell ref="A94:C94"/>
    <mergeCell ref="A95:C95"/>
    <mergeCell ref="A96:C96"/>
    <mergeCell ref="A97:C97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99:O99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O34:XFD34 A34:F34">
    <cfRule type="cellIs" dxfId="0" priority="11" stopIfTrue="1" operator="equal">
      <formula>"no"</formula>
    </cfRule>
  </conditionalFormatting>
  <conditionalFormatting sqref="A98:G98 J98:IV98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5"/>
  <sheetViews>
    <sheetView workbookViewId="0">
      <pane xSplit="3" ySplit="5" topLeftCell="F87" activePane="bottomRight" state="frozen"/>
      <selection/>
      <selection pane="topRight"/>
      <selection pane="bottomLeft"/>
      <selection pane="bottomRight" activeCell="F93" sqref="F93: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413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64</v>
      </c>
      <c r="I2" s="44"/>
      <c r="J2" s="44"/>
      <c r="K2" s="44"/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411093.62</v>
      </c>
      <c r="E6" s="21">
        <v>198455.27</v>
      </c>
      <c r="F6" s="21">
        <v>426093.88</v>
      </c>
      <c r="G6" s="21">
        <v>367911.87</v>
      </c>
      <c r="H6" s="21"/>
      <c r="I6" s="46"/>
      <c r="J6" s="21"/>
      <c r="K6" s="21"/>
      <c r="L6" s="21"/>
      <c r="M6" s="21"/>
      <c r="N6" s="21"/>
      <c r="O6" s="21"/>
      <c r="P6" s="47">
        <f>SUM(D6:O6)</f>
        <v>1403554.64</v>
      </c>
      <c r="Q6" s="48">
        <f>P6+P7+P8+P19+P22+P23+P24+P25+P26</f>
        <v>1517318.21</v>
      </c>
    </row>
    <row r="7" s="5" customFormat="1" ht="17.25" customHeight="1" spans="1:16">
      <c r="A7" s="22"/>
      <c r="B7" s="23"/>
      <c r="C7" s="20" t="s">
        <v>71</v>
      </c>
      <c r="D7" s="21">
        <v>13828</v>
      </c>
      <c r="E7" s="21">
        <v>1900</v>
      </c>
      <c r="F7" s="21">
        <v>2588</v>
      </c>
      <c r="G7" s="21">
        <v>2588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20904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>
        <v>0</v>
      </c>
      <c r="F11" s="21">
        <v>0</v>
      </c>
      <c r="G11" s="21">
        <v>1770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1770</v>
      </c>
    </row>
    <row r="12" s="5" customFormat="1" ht="17.25" customHeight="1" spans="1:16">
      <c r="A12" s="22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>
        <v>1305</v>
      </c>
      <c r="E13" s="21">
        <v>9.5</v>
      </c>
      <c r="F13" s="21">
        <v>20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1334.5</v>
      </c>
    </row>
    <row r="14" s="5" customFormat="1" ht="17.25" customHeight="1" spans="1:16">
      <c r="A14" s="22"/>
      <c r="B14" s="24"/>
      <c r="C14" s="20" t="s">
        <v>79</v>
      </c>
      <c r="D14" s="21"/>
      <c r="E14" s="21">
        <v>0</v>
      </c>
      <c r="F14" s="21">
        <v>0</v>
      </c>
      <c r="G14" s="21">
        <v>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>
        <v>0</v>
      </c>
      <c r="F16" s="21">
        <v>0</v>
      </c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>
        <v>577</v>
      </c>
      <c r="E18" s="21">
        <v>0</v>
      </c>
      <c r="F18" s="21">
        <v>171</v>
      </c>
      <c r="G18" s="21">
        <v>2100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2848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660</v>
      </c>
      <c r="E19" s="21">
        <v>660</v>
      </c>
      <c r="F19" s="21">
        <v>9660</v>
      </c>
      <c r="G19" s="21">
        <v>9810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20790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29454.81</v>
      </c>
      <c r="E22" s="21">
        <v>26075.76</v>
      </c>
      <c r="F22" s="21">
        <v>-25584.24</v>
      </c>
      <c r="G22" s="21">
        <v>-491.52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29454.81</v>
      </c>
    </row>
    <row r="23" s="5" customFormat="1" ht="17.25" customHeight="1" spans="1:16">
      <c r="A23" s="22"/>
      <c r="B23" s="24"/>
      <c r="C23" s="25" t="s">
        <v>89</v>
      </c>
      <c r="D23" s="21">
        <v>920.46</v>
      </c>
      <c r="E23" s="21">
        <v>814.87</v>
      </c>
      <c r="F23" s="21">
        <v>-799.51</v>
      </c>
      <c r="G23" s="21">
        <v>-15.36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920.46</v>
      </c>
    </row>
    <row r="24" s="5" customFormat="1" ht="17.25" customHeight="1" spans="1:16">
      <c r="A24" s="22"/>
      <c r="B24" s="24"/>
      <c r="C24" s="25" t="s">
        <v>90</v>
      </c>
      <c r="D24" s="21">
        <v>1205.38</v>
      </c>
      <c r="E24" s="21">
        <v>1068.11</v>
      </c>
      <c r="F24" s="21">
        <v>-1055.97</v>
      </c>
      <c r="G24" s="21">
        <v>-3.14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1214.38</v>
      </c>
    </row>
    <row r="25" s="5" customFormat="1" ht="17.25" customHeight="1" spans="1:16">
      <c r="A25" s="22"/>
      <c r="B25" s="24"/>
      <c r="C25" s="25" t="s">
        <v>91</v>
      </c>
      <c r="D25" s="21">
        <v>20667.26</v>
      </c>
      <c r="E25" s="21">
        <v>18316.28</v>
      </c>
      <c r="F25" s="21">
        <v>-5569.48</v>
      </c>
      <c r="G25" s="21">
        <v>7035.14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40449.2</v>
      </c>
    </row>
    <row r="26" s="5" customFormat="1" ht="17.25" customHeight="1" spans="1:16">
      <c r="A26" s="22"/>
      <c r="B26" s="23"/>
      <c r="C26" s="25" t="s">
        <v>92</v>
      </c>
      <c r="D26" s="21">
        <v>30.72</v>
      </c>
      <c r="E26" s="21">
        <v>0</v>
      </c>
      <c r="F26" s="21">
        <v>0</v>
      </c>
      <c r="G26" s="21">
        <v>0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30.72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>
        <v>0</v>
      </c>
      <c r="F29" s="21">
        <v>0</v>
      </c>
      <c r="G29" s="21">
        <v>0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>
        <v>0</v>
      </c>
      <c r="F34" s="21">
        <v>0</v>
      </c>
      <c r="G34" s="21">
        <v>0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>
        <v>0</v>
      </c>
      <c r="F35" s="21">
        <v>0</v>
      </c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0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>
        <v>0</v>
      </c>
      <c r="F37" s="21">
        <v>340</v>
      </c>
      <c r="G37" s="21">
        <v>462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802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>
        <v>0</v>
      </c>
      <c r="F39" s="21">
        <v>0</v>
      </c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91474.83</v>
      </c>
      <c r="E41" s="21">
        <v>36141.88</v>
      </c>
      <c r="F41" s="21">
        <v>164934.71</v>
      </c>
      <c r="G41" s="21">
        <v>88816.61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381368.03</v>
      </c>
    </row>
    <row r="42" s="5" customFormat="1" ht="17.25" customHeight="1" spans="1:16">
      <c r="A42" s="31"/>
      <c r="B42" s="19" t="s">
        <v>114</v>
      </c>
      <c r="C42" s="32" t="s">
        <v>114</v>
      </c>
      <c r="D42" s="21"/>
      <c r="E42" s="21">
        <v>0</v>
      </c>
      <c r="F42" s="21">
        <v>0</v>
      </c>
      <c r="G42" s="21">
        <v>0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>
        <v>0</v>
      </c>
      <c r="F43" s="21">
        <v>0</v>
      </c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>
        <v>0</v>
      </c>
      <c r="F44" s="21">
        <v>0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>
        <v>0</v>
      </c>
      <c r="F45" s="21">
        <v>0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134667.68</v>
      </c>
      <c r="E46" s="21">
        <v>70481.16</v>
      </c>
      <c r="F46" s="21">
        <v>120453.28</v>
      </c>
      <c r="G46" s="21">
        <v>123388.77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448990.89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>
        <v>0</v>
      </c>
      <c r="F47" s="21">
        <v>0</v>
      </c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>
        <v>1260</v>
      </c>
      <c r="E48" s="21">
        <v>3000</v>
      </c>
      <c r="F48" s="21">
        <v>0</v>
      </c>
      <c r="G48" s="21">
        <v>0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4260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>
        <v>0</v>
      </c>
      <c r="F49" s="21">
        <v>0</v>
      </c>
      <c r="G49" s="21">
        <v>0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>
        <v>0</v>
      </c>
      <c r="F50" s="21">
        <v>0</v>
      </c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>
        <v>0</v>
      </c>
      <c r="F51" s="21">
        <v>0</v>
      </c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>
        <v>0</v>
      </c>
      <c r="F52" s="21">
        <v>0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>
        <v>0</v>
      </c>
      <c r="F53" s="21">
        <v>0</v>
      </c>
      <c r="G53" s="21">
        <v>50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50</v>
      </c>
    </row>
    <row r="54" s="5" customFormat="1" ht="17.25" customHeight="1" spans="1:16">
      <c r="A54" s="36"/>
      <c r="B54" s="23"/>
      <c r="C54" s="33" t="s">
        <v>83</v>
      </c>
      <c r="D54" s="21"/>
      <c r="E54" s="21">
        <v>0</v>
      </c>
      <c r="F54" s="21">
        <v>0</v>
      </c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>
        <v>0</v>
      </c>
      <c r="F55" s="21">
        <v>0</v>
      </c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>
        <v>0</v>
      </c>
      <c r="F56" s="21">
        <v>0</v>
      </c>
      <c r="G56" s="21">
        <v>0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>
        <v>0</v>
      </c>
      <c r="F57" s="21">
        <v>0</v>
      </c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>
        <v>0</v>
      </c>
      <c r="F58" s="21">
        <v>0</v>
      </c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>
        <v>0</v>
      </c>
      <c r="F59" s="21">
        <v>0</v>
      </c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>
        <v>0</v>
      </c>
      <c r="F60" s="21">
        <v>0</v>
      </c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>
        <v>0</v>
      </c>
      <c r="F61" s="21">
        <v>0</v>
      </c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>
        <v>0</v>
      </c>
      <c r="F62" s="21">
        <v>0</v>
      </c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/>
      <c r="E63" s="21">
        <v>0</v>
      </c>
      <c r="F63" s="21">
        <v>90963.92</v>
      </c>
      <c r="G63" s="21">
        <v>0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90963.92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4368.93</v>
      </c>
      <c r="E64" s="21">
        <v>3675</v>
      </c>
      <c r="F64" s="21">
        <v>4270</v>
      </c>
      <c r="G64" s="21">
        <v>4908.06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17221.99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320000</v>
      </c>
      <c r="E65" s="21">
        <v>-92015.66</v>
      </c>
      <c r="F65" s="21">
        <v>230973.66</v>
      </c>
      <c r="G65" s="21">
        <v>188494.18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647452.18</v>
      </c>
    </row>
    <row r="66" s="5" customFormat="1" ht="17.25" customHeight="1" spans="1:16">
      <c r="A66" s="42"/>
      <c r="B66" s="43" t="s">
        <v>142</v>
      </c>
      <c r="C66" s="33" t="s">
        <v>142</v>
      </c>
      <c r="D66" s="21">
        <v>242021.57</v>
      </c>
      <c r="E66" s="21">
        <v>57783.88</v>
      </c>
      <c r="F66" s="21">
        <v>346679.23</v>
      </c>
      <c r="G66" s="21">
        <v>248775.49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895260.17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v>17690.37</v>
      </c>
      <c r="E67" s="21">
        <v>1798.17</v>
      </c>
      <c r="F67" s="21">
        <v>6046.33</v>
      </c>
      <c r="G67" s="21">
        <v>5304.59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30839.46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>
        <v>0</v>
      </c>
      <c r="F68" s="21">
        <v>0</v>
      </c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>
        <v>0</v>
      </c>
      <c r="F69" s="21">
        <v>0</v>
      </c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>
        <v>0</v>
      </c>
      <c r="F70" s="21">
        <v>0</v>
      </c>
      <c r="G70" s="21">
        <v>0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>
        <v>0</v>
      </c>
      <c r="F71" s="21">
        <v>0</v>
      </c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7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>
        <v>0</v>
      </c>
      <c r="F72" s="21">
        <v>0</v>
      </c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>
        <v>0</v>
      </c>
      <c r="F73" s="21">
        <v>0</v>
      </c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>
        <v>0</v>
      </c>
      <c r="F74" s="21">
        <v>0</v>
      </c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>
        <v>150</v>
      </c>
      <c r="E75" s="21">
        <v>0</v>
      </c>
      <c r="F75" s="21">
        <v>0</v>
      </c>
      <c r="G75" s="21">
        <v>150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300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>
        <v>0</v>
      </c>
      <c r="F76" s="21">
        <v>0</v>
      </c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>
        <v>0</v>
      </c>
      <c r="F77" s="21">
        <v>0</v>
      </c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>
        <v>0</v>
      </c>
      <c r="F78" s="21">
        <v>0</v>
      </c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>
        <v>0</v>
      </c>
      <c r="F79" s="21">
        <v>0</v>
      </c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2031.85</v>
      </c>
      <c r="E80" s="21">
        <v>1645.34</v>
      </c>
      <c r="F80" s="21">
        <v>7165.63</v>
      </c>
      <c r="G80" s="21">
        <v>8269.7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19112.52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>
        <v>0</v>
      </c>
      <c r="F81" s="21">
        <v>6902.65</v>
      </c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6902.65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>
        <v>0</v>
      </c>
      <c r="F85" s="21">
        <v>0</v>
      </c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>
        <v>0</v>
      </c>
      <c r="F86" s="21">
        <v>0</v>
      </c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>
        <v>0</v>
      </c>
      <c r="F87" s="21">
        <v>0</v>
      </c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>
        <v>0</v>
      </c>
      <c r="F88" s="21">
        <v>0</v>
      </c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>
        <v>0</v>
      </c>
      <c r="F89" s="21">
        <v>0</v>
      </c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26" t="s">
        <v>174</v>
      </c>
      <c r="C90" s="33" t="s">
        <v>174</v>
      </c>
      <c r="D90" s="21"/>
      <c r="E90" s="21">
        <v>0</v>
      </c>
      <c r="F90" s="21">
        <v>0</v>
      </c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6" t="s">
        <v>175</v>
      </c>
      <c r="C91" s="33" t="s">
        <v>175</v>
      </c>
      <c r="D91" s="21"/>
      <c r="E91" s="21">
        <v>0</v>
      </c>
      <c r="F91" s="21">
        <v>0</v>
      </c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7420.08</v>
      </c>
      <c r="E92" s="21">
        <v>14829.17</v>
      </c>
      <c r="F92" s="21">
        <v>8897.5</v>
      </c>
      <c r="G92" s="21">
        <v>14825.25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45972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1300827.56</v>
      </c>
      <c r="E93" s="58">
        <f t="shared" ref="E93:O93" si="2">SUM(E6:E92)</f>
        <v>344638.73</v>
      </c>
      <c r="F93" s="58">
        <f t="shared" si="2"/>
        <v>1393150.59</v>
      </c>
      <c r="G93" s="58">
        <f>SUM(G6:G92)</f>
        <v>1074149.64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4112766.52</v>
      </c>
    </row>
    <row r="94" s="7" customFormat="1" ht="15" customHeight="1" spans="1:16">
      <c r="A94" s="77" t="s">
        <v>387</v>
      </c>
      <c r="B94" s="77"/>
      <c r="C94" s="77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77" t="s">
        <v>178</v>
      </c>
      <c r="B95" s="77"/>
      <c r="C95" s="77"/>
      <c r="D95" s="21">
        <f>D93</f>
        <v>1300827.56</v>
      </c>
      <c r="E95" s="21">
        <v>344638.73</v>
      </c>
      <c r="F95" s="21">
        <v>1393150.59</v>
      </c>
      <c r="G95" s="21">
        <f>G93</f>
        <v>1074149.64</v>
      </c>
      <c r="H95" s="21">
        <f t="shared" ref="H95:O95" si="3">H93</f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4112766.52</v>
      </c>
    </row>
    <row r="96" s="7" customFormat="1" ht="15" customHeight="1" spans="1:16">
      <c r="A96" s="77" t="s">
        <v>179</v>
      </c>
      <c r="B96" s="77"/>
      <c r="C96" s="77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77" t="s">
        <v>180</v>
      </c>
      <c r="B97" s="77"/>
      <c r="C97" s="77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8" customFormat="1" ht="16.5" customHeight="1" spans="8:9">
      <c r="H98" s="9"/>
      <c r="I98" s="9"/>
    </row>
    <row r="99" s="9" customFormat="1" ht="16.5" customHeight="1" spans="4:16">
      <c r="D99" s="64" t="b">
        <f>D93=SUM(D94:D97)</f>
        <v>1</v>
      </c>
      <c r="E99" s="64" t="b">
        <f t="shared" ref="E99:P99" si="4">E93=SUM(E94:E97)</f>
        <v>1</v>
      </c>
      <c r="F99" s="64" t="b">
        <f t="shared" si="4"/>
        <v>1</v>
      </c>
      <c r="G99" s="64" t="b">
        <f t="shared" si="4"/>
        <v>1</v>
      </c>
      <c r="H99" s="64" t="b">
        <f t="shared" si="4"/>
        <v>1</v>
      </c>
      <c r="I99" s="64" t="b">
        <f t="shared" si="4"/>
        <v>1</v>
      </c>
      <c r="J99" s="64" t="b">
        <f t="shared" si="4"/>
        <v>1</v>
      </c>
      <c r="K99" s="64" t="b">
        <f t="shared" si="4"/>
        <v>1</v>
      </c>
      <c r="L99" s="64" t="b">
        <f t="shared" si="4"/>
        <v>1</v>
      </c>
      <c r="M99" s="64" t="b">
        <f t="shared" si="4"/>
        <v>1</v>
      </c>
      <c r="N99" s="64" t="b">
        <f t="shared" si="4"/>
        <v>1</v>
      </c>
      <c r="O99" s="64" t="b">
        <f t="shared" si="4"/>
        <v>1</v>
      </c>
      <c r="P99" s="64" t="b">
        <f t="shared" si="4"/>
        <v>1</v>
      </c>
    </row>
    <row r="100" s="9" customFormat="1" spans="2:15">
      <c r="B100" s="9" t="s">
        <v>392</v>
      </c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</row>
    <row r="101" s="9" customFormat="1" spans="2:2">
      <c r="B101" s="9" t="s">
        <v>393</v>
      </c>
    </row>
    <row r="102" spans="16:16">
      <c r="P102" s="68"/>
    </row>
    <row r="105" spans="6:12">
      <c r="F105" s="66"/>
      <c r="G105" s="66"/>
      <c r="L105" s="66"/>
    </row>
  </sheetData>
  <autoFilter ref="A5:Q101">
    <extLst/>
  </autoFilter>
  <mergeCells count="36">
    <mergeCell ref="A1:N1"/>
    <mergeCell ref="D4:O4"/>
    <mergeCell ref="A93:C93"/>
    <mergeCell ref="A94:C94"/>
    <mergeCell ref="A95:C95"/>
    <mergeCell ref="A96:C96"/>
    <mergeCell ref="A97:C97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P99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O34:XFD34 A34:F34">
    <cfRule type="cellIs" dxfId="0" priority="20" stopIfTrue="1" operator="equal">
      <formula>"no"</formula>
    </cfRule>
  </conditionalFormatting>
  <conditionalFormatting sqref="A98:G98 J98:IV98">
    <cfRule type="cellIs" dxfId="0" priority="19" stopIfTrue="1" operator="equal">
      <formula>"no"</formula>
    </cfRule>
  </conditionalFormatting>
  <conditionalFormatting sqref="D99:O100">
    <cfRule type="cellIs" dxfId="0" priority="18" stopIfTrue="1" operator="equal">
      <formula>"no"</formula>
    </cfRule>
    <cfRule type="cellIs" dxfId="0" priority="10" stopIfTrue="1" operator="equal">
      <formula>"no"</formula>
    </cfRule>
    <cfRule type="cellIs" dxfId="0" priority="11" stopIfTrue="1" operator="equal">
      <formula>"no"</formula>
    </cfRule>
    <cfRule type="cellIs" dxfId="0" priority="12" stopIfTrue="1" operator="equal">
      <formula>"no"</formula>
    </cfRule>
    <cfRule type="cellIs" dxfId="0" priority="13" stopIfTrue="1" operator="equal">
      <formula>"no"</formula>
    </cfRule>
    <cfRule type="cellIs" dxfId="0" priority="14" stopIfTrue="1" operator="equal">
      <formula>"no"</formula>
    </cfRule>
    <cfRule type="cellIs" dxfId="0" priority="15" stopIfTrue="1" operator="equal">
      <formula>"no"</formula>
    </cfRule>
    <cfRule type="cellIs" dxfId="0" priority="16" stopIfTrue="1" operator="equal">
      <formula>"no"</formula>
    </cfRule>
    <cfRule type="cellIs" dxfId="0" priority="17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P103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375" style="10" customWidth="1"/>
    <col min="5" max="6" width="12.25" style="10" customWidth="1"/>
    <col min="7" max="7" width="12.625" style="10" customWidth="1"/>
    <col min="8" max="8" width="12.75" style="10" customWidth="1"/>
    <col min="9" max="9" width="12" style="10" customWidth="1"/>
    <col min="10" max="10" width="12.25" style="10" customWidth="1"/>
    <col min="11" max="11" width="12.125" style="10" customWidth="1"/>
    <col min="12" max="13" width="14" style="10" customWidth="1"/>
    <col min="14" max="14" width="15" style="10" customWidth="1"/>
    <col min="15" max="15" width="16.25" style="10" customWidth="1"/>
    <col min="16" max="16" width="11.375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59" width="12.25" style="10" customWidth="1"/>
    <col min="260" max="260" width="13.375" style="10" customWidth="1"/>
    <col min="261" max="262" width="12.25" style="10" customWidth="1"/>
    <col min="263" max="263" width="12.625" style="10" customWidth="1"/>
    <col min="264" max="264" width="12.75" style="10" customWidth="1"/>
    <col min="265" max="265" width="12" style="10" customWidth="1"/>
    <col min="266" max="266" width="12.25" style="10" customWidth="1"/>
    <col min="267" max="267" width="12.125" style="10" customWidth="1"/>
    <col min="268" max="269" width="14" style="10" customWidth="1"/>
    <col min="270" max="270" width="1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5" width="12.25" style="10" customWidth="1"/>
    <col min="516" max="516" width="13.375" style="10" customWidth="1"/>
    <col min="517" max="518" width="12.25" style="10" customWidth="1"/>
    <col min="519" max="519" width="12.625" style="10" customWidth="1"/>
    <col min="520" max="520" width="12.75" style="10" customWidth="1"/>
    <col min="521" max="521" width="12" style="10" customWidth="1"/>
    <col min="522" max="522" width="12.25" style="10" customWidth="1"/>
    <col min="523" max="523" width="12.125" style="10" customWidth="1"/>
    <col min="524" max="525" width="14" style="10" customWidth="1"/>
    <col min="526" max="526" width="1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1" width="12.25" style="10" customWidth="1"/>
    <col min="772" max="772" width="13.375" style="10" customWidth="1"/>
    <col min="773" max="774" width="12.25" style="10" customWidth="1"/>
    <col min="775" max="775" width="12.625" style="10" customWidth="1"/>
    <col min="776" max="776" width="12.75" style="10" customWidth="1"/>
    <col min="777" max="777" width="12" style="10" customWidth="1"/>
    <col min="778" max="778" width="12.25" style="10" customWidth="1"/>
    <col min="779" max="779" width="12.125" style="10" customWidth="1"/>
    <col min="780" max="781" width="14" style="10" customWidth="1"/>
    <col min="782" max="782" width="1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27" width="12.25" style="10" customWidth="1"/>
    <col min="1028" max="1028" width="13.375" style="10" customWidth="1"/>
    <col min="1029" max="1030" width="12.25" style="10" customWidth="1"/>
    <col min="1031" max="1031" width="12.625" style="10" customWidth="1"/>
    <col min="1032" max="1032" width="12.75" style="10" customWidth="1"/>
    <col min="1033" max="1033" width="12" style="10" customWidth="1"/>
    <col min="1034" max="1034" width="12.25" style="10" customWidth="1"/>
    <col min="1035" max="1035" width="12.125" style="10" customWidth="1"/>
    <col min="1036" max="1037" width="14" style="10" customWidth="1"/>
    <col min="1038" max="1038" width="1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3" width="12.25" style="10" customWidth="1"/>
    <col min="1284" max="1284" width="13.375" style="10" customWidth="1"/>
    <col min="1285" max="1286" width="12.25" style="10" customWidth="1"/>
    <col min="1287" max="1287" width="12.625" style="10" customWidth="1"/>
    <col min="1288" max="1288" width="12.75" style="10" customWidth="1"/>
    <col min="1289" max="1289" width="12" style="10" customWidth="1"/>
    <col min="1290" max="1290" width="12.25" style="10" customWidth="1"/>
    <col min="1291" max="1291" width="12.125" style="10" customWidth="1"/>
    <col min="1292" max="1293" width="14" style="10" customWidth="1"/>
    <col min="1294" max="1294" width="1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39" width="12.25" style="10" customWidth="1"/>
    <col min="1540" max="1540" width="13.375" style="10" customWidth="1"/>
    <col min="1541" max="1542" width="12.25" style="10" customWidth="1"/>
    <col min="1543" max="1543" width="12.625" style="10" customWidth="1"/>
    <col min="1544" max="1544" width="12.75" style="10" customWidth="1"/>
    <col min="1545" max="1545" width="12" style="10" customWidth="1"/>
    <col min="1546" max="1546" width="12.25" style="10" customWidth="1"/>
    <col min="1547" max="1547" width="12.125" style="10" customWidth="1"/>
    <col min="1548" max="1549" width="14" style="10" customWidth="1"/>
    <col min="1550" max="1550" width="1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5" width="12.25" style="10" customWidth="1"/>
    <col min="1796" max="1796" width="13.375" style="10" customWidth="1"/>
    <col min="1797" max="1798" width="12.25" style="10" customWidth="1"/>
    <col min="1799" max="1799" width="12.625" style="10" customWidth="1"/>
    <col min="1800" max="1800" width="12.75" style="10" customWidth="1"/>
    <col min="1801" max="1801" width="12" style="10" customWidth="1"/>
    <col min="1802" max="1802" width="12.25" style="10" customWidth="1"/>
    <col min="1803" max="1803" width="12.125" style="10" customWidth="1"/>
    <col min="1804" max="1805" width="14" style="10" customWidth="1"/>
    <col min="1806" max="1806" width="1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1" width="12.25" style="10" customWidth="1"/>
    <col min="2052" max="2052" width="13.375" style="10" customWidth="1"/>
    <col min="2053" max="2054" width="12.25" style="10" customWidth="1"/>
    <col min="2055" max="2055" width="12.625" style="10" customWidth="1"/>
    <col min="2056" max="2056" width="12.75" style="10" customWidth="1"/>
    <col min="2057" max="2057" width="12" style="10" customWidth="1"/>
    <col min="2058" max="2058" width="12.25" style="10" customWidth="1"/>
    <col min="2059" max="2059" width="12.125" style="10" customWidth="1"/>
    <col min="2060" max="2061" width="14" style="10" customWidth="1"/>
    <col min="2062" max="2062" width="1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07" width="12.25" style="10" customWidth="1"/>
    <col min="2308" max="2308" width="13.375" style="10" customWidth="1"/>
    <col min="2309" max="2310" width="12.25" style="10" customWidth="1"/>
    <col min="2311" max="2311" width="12.625" style="10" customWidth="1"/>
    <col min="2312" max="2312" width="12.75" style="10" customWidth="1"/>
    <col min="2313" max="2313" width="12" style="10" customWidth="1"/>
    <col min="2314" max="2314" width="12.25" style="10" customWidth="1"/>
    <col min="2315" max="2315" width="12.125" style="10" customWidth="1"/>
    <col min="2316" max="2317" width="14" style="10" customWidth="1"/>
    <col min="2318" max="2318" width="1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3" width="12.25" style="10" customWidth="1"/>
    <col min="2564" max="2564" width="13.375" style="10" customWidth="1"/>
    <col min="2565" max="2566" width="12.25" style="10" customWidth="1"/>
    <col min="2567" max="2567" width="12.625" style="10" customWidth="1"/>
    <col min="2568" max="2568" width="12.75" style="10" customWidth="1"/>
    <col min="2569" max="2569" width="12" style="10" customWidth="1"/>
    <col min="2570" max="2570" width="12.25" style="10" customWidth="1"/>
    <col min="2571" max="2571" width="12.125" style="10" customWidth="1"/>
    <col min="2572" max="2573" width="14" style="10" customWidth="1"/>
    <col min="2574" max="2574" width="1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19" width="12.25" style="10" customWidth="1"/>
    <col min="2820" max="2820" width="13.375" style="10" customWidth="1"/>
    <col min="2821" max="2822" width="12.25" style="10" customWidth="1"/>
    <col min="2823" max="2823" width="12.625" style="10" customWidth="1"/>
    <col min="2824" max="2824" width="12.75" style="10" customWidth="1"/>
    <col min="2825" max="2825" width="12" style="10" customWidth="1"/>
    <col min="2826" max="2826" width="12.25" style="10" customWidth="1"/>
    <col min="2827" max="2827" width="12.125" style="10" customWidth="1"/>
    <col min="2828" max="2829" width="14" style="10" customWidth="1"/>
    <col min="2830" max="2830" width="1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5" width="12.25" style="10" customWidth="1"/>
    <col min="3076" max="3076" width="13.375" style="10" customWidth="1"/>
    <col min="3077" max="3078" width="12.25" style="10" customWidth="1"/>
    <col min="3079" max="3079" width="12.625" style="10" customWidth="1"/>
    <col min="3080" max="3080" width="12.75" style="10" customWidth="1"/>
    <col min="3081" max="3081" width="12" style="10" customWidth="1"/>
    <col min="3082" max="3082" width="12.25" style="10" customWidth="1"/>
    <col min="3083" max="3083" width="12.125" style="10" customWidth="1"/>
    <col min="3084" max="3085" width="14" style="10" customWidth="1"/>
    <col min="3086" max="3086" width="1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1" width="12.25" style="10" customWidth="1"/>
    <col min="3332" max="3332" width="13.375" style="10" customWidth="1"/>
    <col min="3333" max="3334" width="12.25" style="10" customWidth="1"/>
    <col min="3335" max="3335" width="12.625" style="10" customWidth="1"/>
    <col min="3336" max="3336" width="12.75" style="10" customWidth="1"/>
    <col min="3337" max="3337" width="12" style="10" customWidth="1"/>
    <col min="3338" max="3338" width="12.25" style="10" customWidth="1"/>
    <col min="3339" max="3339" width="12.125" style="10" customWidth="1"/>
    <col min="3340" max="3341" width="14" style="10" customWidth="1"/>
    <col min="3342" max="3342" width="1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87" width="12.25" style="10" customWidth="1"/>
    <col min="3588" max="3588" width="13.375" style="10" customWidth="1"/>
    <col min="3589" max="3590" width="12.25" style="10" customWidth="1"/>
    <col min="3591" max="3591" width="12.625" style="10" customWidth="1"/>
    <col min="3592" max="3592" width="12.75" style="10" customWidth="1"/>
    <col min="3593" max="3593" width="12" style="10" customWidth="1"/>
    <col min="3594" max="3594" width="12.25" style="10" customWidth="1"/>
    <col min="3595" max="3595" width="12.125" style="10" customWidth="1"/>
    <col min="3596" max="3597" width="14" style="10" customWidth="1"/>
    <col min="3598" max="3598" width="1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3" width="12.25" style="10" customWidth="1"/>
    <col min="3844" max="3844" width="13.375" style="10" customWidth="1"/>
    <col min="3845" max="3846" width="12.25" style="10" customWidth="1"/>
    <col min="3847" max="3847" width="12.625" style="10" customWidth="1"/>
    <col min="3848" max="3848" width="12.75" style="10" customWidth="1"/>
    <col min="3849" max="3849" width="12" style="10" customWidth="1"/>
    <col min="3850" max="3850" width="12.25" style="10" customWidth="1"/>
    <col min="3851" max="3851" width="12.125" style="10" customWidth="1"/>
    <col min="3852" max="3853" width="14" style="10" customWidth="1"/>
    <col min="3854" max="3854" width="1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099" width="12.25" style="10" customWidth="1"/>
    <col min="4100" max="4100" width="13.375" style="10" customWidth="1"/>
    <col min="4101" max="4102" width="12.25" style="10" customWidth="1"/>
    <col min="4103" max="4103" width="12.625" style="10" customWidth="1"/>
    <col min="4104" max="4104" width="12.75" style="10" customWidth="1"/>
    <col min="4105" max="4105" width="12" style="10" customWidth="1"/>
    <col min="4106" max="4106" width="12.25" style="10" customWidth="1"/>
    <col min="4107" max="4107" width="12.125" style="10" customWidth="1"/>
    <col min="4108" max="4109" width="14" style="10" customWidth="1"/>
    <col min="4110" max="4110" width="1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5" width="12.25" style="10" customWidth="1"/>
    <col min="4356" max="4356" width="13.375" style="10" customWidth="1"/>
    <col min="4357" max="4358" width="12.25" style="10" customWidth="1"/>
    <col min="4359" max="4359" width="12.625" style="10" customWidth="1"/>
    <col min="4360" max="4360" width="12.75" style="10" customWidth="1"/>
    <col min="4361" max="4361" width="12" style="10" customWidth="1"/>
    <col min="4362" max="4362" width="12.25" style="10" customWidth="1"/>
    <col min="4363" max="4363" width="12.125" style="10" customWidth="1"/>
    <col min="4364" max="4365" width="14" style="10" customWidth="1"/>
    <col min="4366" max="4366" width="1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1" width="12.25" style="10" customWidth="1"/>
    <col min="4612" max="4612" width="13.375" style="10" customWidth="1"/>
    <col min="4613" max="4614" width="12.25" style="10" customWidth="1"/>
    <col min="4615" max="4615" width="12.625" style="10" customWidth="1"/>
    <col min="4616" max="4616" width="12.75" style="10" customWidth="1"/>
    <col min="4617" max="4617" width="12" style="10" customWidth="1"/>
    <col min="4618" max="4618" width="12.25" style="10" customWidth="1"/>
    <col min="4619" max="4619" width="12.125" style="10" customWidth="1"/>
    <col min="4620" max="4621" width="14" style="10" customWidth="1"/>
    <col min="4622" max="4622" width="1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67" width="12.25" style="10" customWidth="1"/>
    <col min="4868" max="4868" width="13.375" style="10" customWidth="1"/>
    <col min="4869" max="4870" width="12.25" style="10" customWidth="1"/>
    <col min="4871" max="4871" width="12.625" style="10" customWidth="1"/>
    <col min="4872" max="4872" width="12.75" style="10" customWidth="1"/>
    <col min="4873" max="4873" width="12" style="10" customWidth="1"/>
    <col min="4874" max="4874" width="12.25" style="10" customWidth="1"/>
    <col min="4875" max="4875" width="12.125" style="10" customWidth="1"/>
    <col min="4876" max="4877" width="14" style="10" customWidth="1"/>
    <col min="4878" max="4878" width="1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3" width="12.25" style="10" customWidth="1"/>
    <col min="5124" max="5124" width="13.375" style="10" customWidth="1"/>
    <col min="5125" max="5126" width="12.25" style="10" customWidth="1"/>
    <col min="5127" max="5127" width="12.625" style="10" customWidth="1"/>
    <col min="5128" max="5128" width="12.75" style="10" customWidth="1"/>
    <col min="5129" max="5129" width="12" style="10" customWidth="1"/>
    <col min="5130" max="5130" width="12.25" style="10" customWidth="1"/>
    <col min="5131" max="5131" width="12.125" style="10" customWidth="1"/>
    <col min="5132" max="5133" width="14" style="10" customWidth="1"/>
    <col min="5134" max="5134" width="1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79" width="12.25" style="10" customWidth="1"/>
    <col min="5380" max="5380" width="13.375" style="10" customWidth="1"/>
    <col min="5381" max="5382" width="12.25" style="10" customWidth="1"/>
    <col min="5383" max="5383" width="12.625" style="10" customWidth="1"/>
    <col min="5384" max="5384" width="12.75" style="10" customWidth="1"/>
    <col min="5385" max="5385" width="12" style="10" customWidth="1"/>
    <col min="5386" max="5386" width="12.25" style="10" customWidth="1"/>
    <col min="5387" max="5387" width="12.125" style="10" customWidth="1"/>
    <col min="5388" max="5389" width="14" style="10" customWidth="1"/>
    <col min="5390" max="5390" width="1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5" width="12.25" style="10" customWidth="1"/>
    <col min="5636" max="5636" width="13.375" style="10" customWidth="1"/>
    <col min="5637" max="5638" width="12.25" style="10" customWidth="1"/>
    <col min="5639" max="5639" width="12.625" style="10" customWidth="1"/>
    <col min="5640" max="5640" width="12.75" style="10" customWidth="1"/>
    <col min="5641" max="5641" width="12" style="10" customWidth="1"/>
    <col min="5642" max="5642" width="12.25" style="10" customWidth="1"/>
    <col min="5643" max="5643" width="12.125" style="10" customWidth="1"/>
    <col min="5644" max="5645" width="14" style="10" customWidth="1"/>
    <col min="5646" max="5646" width="1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1" width="12.25" style="10" customWidth="1"/>
    <col min="5892" max="5892" width="13.375" style="10" customWidth="1"/>
    <col min="5893" max="5894" width="12.25" style="10" customWidth="1"/>
    <col min="5895" max="5895" width="12.625" style="10" customWidth="1"/>
    <col min="5896" max="5896" width="12.75" style="10" customWidth="1"/>
    <col min="5897" max="5897" width="12" style="10" customWidth="1"/>
    <col min="5898" max="5898" width="12.25" style="10" customWidth="1"/>
    <col min="5899" max="5899" width="12.125" style="10" customWidth="1"/>
    <col min="5900" max="5901" width="14" style="10" customWidth="1"/>
    <col min="5902" max="5902" width="1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47" width="12.25" style="10" customWidth="1"/>
    <col min="6148" max="6148" width="13.375" style="10" customWidth="1"/>
    <col min="6149" max="6150" width="12.25" style="10" customWidth="1"/>
    <col min="6151" max="6151" width="12.625" style="10" customWidth="1"/>
    <col min="6152" max="6152" width="12.75" style="10" customWidth="1"/>
    <col min="6153" max="6153" width="12" style="10" customWidth="1"/>
    <col min="6154" max="6154" width="12.25" style="10" customWidth="1"/>
    <col min="6155" max="6155" width="12.125" style="10" customWidth="1"/>
    <col min="6156" max="6157" width="14" style="10" customWidth="1"/>
    <col min="6158" max="6158" width="1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3" width="12.25" style="10" customWidth="1"/>
    <col min="6404" max="6404" width="13.375" style="10" customWidth="1"/>
    <col min="6405" max="6406" width="12.25" style="10" customWidth="1"/>
    <col min="6407" max="6407" width="12.625" style="10" customWidth="1"/>
    <col min="6408" max="6408" width="12.75" style="10" customWidth="1"/>
    <col min="6409" max="6409" width="12" style="10" customWidth="1"/>
    <col min="6410" max="6410" width="12.25" style="10" customWidth="1"/>
    <col min="6411" max="6411" width="12.125" style="10" customWidth="1"/>
    <col min="6412" max="6413" width="14" style="10" customWidth="1"/>
    <col min="6414" max="6414" width="1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59" width="12.25" style="10" customWidth="1"/>
    <col min="6660" max="6660" width="13.375" style="10" customWidth="1"/>
    <col min="6661" max="6662" width="12.25" style="10" customWidth="1"/>
    <col min="6663" max="6663" width="12.625" style="10" customWidth="1"/>
    <col min="6664" max="6664" width="12.75" style="10" customWidth="1"/>
    <col min="6665" max="6665" width="12" style="10" customWidth="1"/>
    <col min="6666" max="6666" width="12.25" style="10" customWidth="1"/>
    <col min="6667" max="6667" width="12.125" style="10" customWidth="1"/>
    <col min="6668" max="6669" width="14" style="10" customWidth="1"/>
    <col min="6670" max="6670" width="1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5" width="12.25" style="10" customWidth="1"/>
    <col min="6916" max="6916" width="13.375" style="10" customWidth="1"/>
    <col min="6917" max="6918" width="12.25" style="10" customWidth="1"/>
    <col min="6919" max="6919" width="12.625" style="10" customWidth="1"/>
    <col min="6920" max="6920" width="12.75" style="10" customWidth="1"/>
    <col min="6921" max="6921" width="12" style="10" customWidth="1"/>
    <col min="6922" max="6922" width="12.25" style="10" customWidth="1"/>
    <col min="6923" max="6923" width="12.125" style="10" customWidth="1"/>
    <col min="6924" max="6925" width="14" style="10" customWidth="1"/>
    <col min="6926" max="6926" width="1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1" width="12.25" style="10" customWidth="1"/>
    <col min="7172" max="7172" width="13.375" style="10" customWidth="1"/>
    <col min="7173" max="7174" width="12.25" style="10" customWidth="1"/>
    <col min="7175" max="7175" width="12.625" style="10" customWidth="1"/>
    <col min="7176" max="7176" width="12.75" style="10" customWidth="1"/>
    <col min="7177" max="7177" width="12" style="10" customWidth="1"/>
    <col min="7178" max="7178" width="12.25" style="10" customWidth="1"/>
    <col min="7179" max="7179" width="12.125" style="10" customWidth="1"/>
    <col min="7180" max="7181" width="14" style="10" customWidth="1"/>
    <col min="7182" max="7182" width="1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27" width="12.25" style="10" customWidth="1"/>
    <col min="7428" max="7428" width="13.375" style="10" customWidth="1"/>
    <col min="7429" max="7430" width="12.25" style="10" customWidth="1"/>
    <col min="7431" max="7431" width="12.625" style="10" customWidth="1"/>
    <col min="7432" max="7432" width="12.75" style="10" customWidth="1"/>
    <col min="7433" max="7433" width="12" style="10" customWidth="1"/>
    <col min="7434" max="7434" width="12.25" style="10" customWidth="1"/>
    <col min="7435" max="7435" width="12.125" style="10" customWidth="1"/>
    <col min="7436" max="7437" width="14" style="10" customWidth="1"/>
    <col min="7438" max="7438" width="1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3" width="12.25" style="10" customWidth="1"/>
    <col min="7684" max="7684" width="13.375" style="10" customWidth="1"/>
    <col min="7685" max="7686" width="12.25" style="10" customWidth="1"/>
    <col min="7687" max="7687" width="12.625" style="10" customWidth="1"/>
    <col min="7688" max="7688" width="12.75" style="10" customWidth="1"/>
    <col min="7689" max="7689" width="12" style="10" customWidth="1"/>
    <col min="7690" max="7690" width="12.25" style="10" customWidth="1"/>
    <col min="7691" max="7691" width="12.125" style="10" customWidth="1"/>
    <col min="7692" max="7693" width="14" style="10" customWidth="1"/>
    <col min="7694" max="7694" width="1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39" width="12.25" style="10" customWidth="1"/>
    <col min="7940" max="7940" width="13.375" style="10" customWidth="1"/>
    <col min="7941" max="7942" width="12.25" style="10" customWidth="1"/>
    <col min="7943" max="7943" width="12.625" style="10" customWidth="1"/>
    <col min="7944" max="7944" width="12.75" style="10" customWidth="1"/>
    <col min="7945" max="7945" width="12" style="10" customWidth="1"/>
    <col min="7946" max="7946" width="12.25" style="10" customWidth="1"/>
    <col min="7947" max="7947" width="12.125" style="10" customWidth="1"/>
    <col min="7948" max="7949" width="14" style="10" customWidth="1"/>
    <col min="7950" max="7950" width="1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5" width="12.25" style="10" customWidth="1"/>
    <col min="8196" max="8196" width="13.375" style="10" customWidth="1"/>
    <col min="8197" max="8198" width="12.25" style="10" customWidth="1"/>
    <col min="8199" max="8199" width="12.625" style="10" customWidth="1"/>
    <col min="8200" max="8200" width="12.75" style="10" customWidth="1"/>
    <col min="8201" max="8201" width="12" style="10" customWidth="1"/>
    <col min="8202" max="8202" width="12.25" style="10" customWidth="1"/>
    <col min="8203" max="8203" width="12.125" style="10" customWidth="1"/>
    <col min="8204" max="8205" width="14" style="10" customWidth="1"/>
    <col min="8206" max="8206" width="1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1" width="12.25" style="10" customWidth="1"/>
    <col min="8452" max="8452" width="13.375" style="10" customWidth="1"/>
    <col min="8453" max="8454" width="12.25" style="10" customWidth="1"/>
    <col min="8455" max="8455" width="12.625" style="10" customWidth="1"/>
    <col min="8456" max="8456" width="12.75" style="10" customWidth="1"/>
    <col min="8457" max="8457" width="12" style="10" customWidth="1"/>
    <col min="8458" max="8458" width="12.25" style="10" customWidth="1"/>
    <col min="8459" max="8459" width="12.125" style="10" customWidth="1"/>
    <col min="8460" max="8461" width="14" style="10" customWidth="1"/>
    <col min="8462" max="8462" width="1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07" width="12.25" style="10" customWidth="1"/>
    <col min="8708" max="8708" width="13.375" style="10" customWidth="1"/>
    <col min="8709" max="8710" width="12.25" style="10" customWidth="1"/>
    <col min="8711" max="8711" width="12.625" style="10" customWidth="1"/>
    <col min="8712" max="8712" width="12.75" style="10" customWidth="1"/>
    <col min="8713" max="8713" width="12" style="10" customWidth="1"/>
    <col min="8714" max="8714" width="12.25" style="10" customWidth="1"/>
    <col min="8715" max="8715" width="12.125" style="10" customWidth="1"/>
    <col min="8716" max="8717" width="14" style="10" customWidth="1"/>
    <col min="8718" max="8718" width="1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3" width="12.25" style="10" customWidth="1"/>
    <col min="8964" max="8964" width="13.375" style="10" customWidth="1"/>
    <col min="8965" max="8966" width="12.25" style="10" customWidth="1"/>
    <col min="8967" max="8967" width="12.625" style="10" customWidth="1"/>
    <col min="8968" max="8968" width="12.75" style="10" customWidth="1"/>
    <col min="8969" max="8969" width="12" style="10" customWidth="1"/>
    <col min="8970" max="8970" width="12.25" style="10" customWidth="1"/>
    <col min="8971" max="8971" width="12.125" style="10" customWidth="1"/>
    <col min="8972" max="8973" width="14" style="10" customWidth="1"/>
    <col min="8974" max="8974" width="1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19" width="12.25" style="10" customWidth="1"/>
    <col min="9220" max="9220" width="13.375" style="10" customWidth="1"/>
    <col min="9221" max="9222" width="12.25" style="10" customWidth="1"/>
    <col min="9223" max="9223" width="12.625" style="10" customWidth="1"/>
    <col min="9224" max="9224" width="12.75" style="10" customWidth="1"/>
    <col min="9225" max="9225" width="12" style="10" customWidth="1"/>
    <col min="9226" max="9226" width="12.25" style="10" customWidth="1"/>
    <col min="9227" max="9227" width="12.125" style="10" customWidth="1"/>
    <col min="9228" max="9229" width="14" style="10" customWidth="1"/>
    <col min="9230" max="9230" width="1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5" width="12.25" style="10" customWidth="1"/>
    <col min="9476" max="9476" width="13.375" style="10" customWidth="1"/>
    <col min="9477" max="9478" width="12.25" style="10" customWidth="1"/>
    <col min="9479" max="9479" width="12.625" style="10" customWidth="1"/>
    <col min="9480" max="9480" width="12.75" style="10" customWidth="1"/>
    <col min="9481" max="9481" width="12" style="10" customWidth="1"/>
    <col min="9482" max="9482" width="12.25" style="10" customWidth="1"/>
    <col min="9483" max="9483" width="12.125" style="10" customWidth="1"/>
    <col min="9484" max="9485" width="14" style="10" customWidth="1"/>
    <col min="9486" max="9486" width="1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1" width="12.25" style="10" customWidth="1"/>
    <col min="9732" max="9732" width="13.375" style="10" customWidth="1"/>
    <col min="9733" max="9734" width="12.25" style="10" customWidth="1"/>
    <col min="9735" max="9735" width="12.625" style="10" customWidth="1"/>
    <col min="9736" max="9736" width="12.75" style="10" customWidth="1"/>
    <col min="9737" max="9737" width="12" style="10" customWidth="1"/>
    <col min="9738" max="9738" width="12.25" style="10" customWidth="1"/>
    <col min="9739" max="9739" width="12.125" style="10" customWidth="1"/>
    <col min="9740" max="9741" width="14" style="10" customWidth="1"/>
    <col min="9742" max="9742" width="1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87" width="12.25" style="10" customWidth="1"/>
    <col min="9988" max="9988" width="13.375" style="10" customWidth="1"/>
    <col min="9989" max="9990" width="12.25" style="10" customWidth="1"/>
    <col min="9991" max="9991" width="12.625" style="10" customWidth="1"/>
    <col min="9992" max="9992" width="12.75" style="10" customWidth="1"/>
    <col min="9993" max="9993" width="12" style="10" customWidth="1"/>
    <col min="9994" max="9994" width="12.25" style="10" customWidth="1"/>
    <col min="9995" max="9995" width="12.125" style="10" customWidth="1"/>
    <col min="9996" max="9997" width="14" style="10" customWidth="1"/>
    <col min="9998" max="9998" width="1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3" width="12.25" style="10" customWidth="1"/>
    <col min="10244" max="10244" width="13.375" style="10" customWidth="1"/>
    <col min="10245" max="10246" width="12.25" style="10" customWidth="1"/>
    <col min="10247" max="10247" width="12.625" style="10" customWidth="1"/>
    <col min="10248" max="10248" width="12.75" style="10" customWidth="1"/>
    <col min="10249" max="10249" width="12" style="10" customWidth="1"/>
    <col min="10250" max="10250" width="12.25" style="10" customWidth="1"/>
    <col min="10251" max="10251" width="12.125" style="10" customWidth="1"/>
    <col min="10252" max="10253" width="14" style="10" customWidth="1"/>
    <col min="10254" max="10254" width="1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499" width="12.25" style="10" customWidth="1"/>
    <col min="10500" max="10500" width="13.375" style="10" customWidth="1"/>
    <col min="10501" max="10502" width="12.25" style="10" customWidth="1"/>
    <col min="10503" max="10503" width="12.625" style="10" customWidth="1"/>
    <col min="10504" max="10504" width="12.75" style="10" customWidth="1"/>
    <col min="10505" max="10505" width="12" style="10" customWidth="1"/>
    <col min="10506" max="10506" width="12.25" style="10" customWidth="1"/>
    <col min="10507" max="10507" width="12.125" style="10" customWidth="1"/>
    <col min="10508" max="10509" width="14" style="10" customWidth="1"/>
    <col min="10510" max="10510" width="1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5" width="12.25" style="10" customWidth="1"/>
    <col min="10756" max="10756" width="13.375" style="10" customWidth="1"/>
    <col min="10757" max="10758" width="12.25" style="10" customWidth="1"/>
    <col min="10759" max="10759" width="12.625" style="10" customWidth="1"/>
    <col min="10760" max="10760" width="12.75" style="10" customWidth="1"/>
    <col min="10761" max="10761" width="12" style="10" customWidth="1"/>
    <col min="10762" max="10762" width="12.25" style="10" customWidth="1"/>
    <col min="10763" max="10763" width="12.125" style="10" customWidth="1"/>
    <col min="10764" max="10765" width="14" style="10" customWidth="1"/>
    <col min="10766" max="10766" width="1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1" width="12.25" style="10" customWidth="1"/>
    <col min="11012" max="11012" width="13.375" style="10" customWidth="1"/>
    <col min="11013" max="11014" width="12.25" style="10" customWidth="1"/>
    <col min="11015" max="11015" width="12.625" style="10" customWidth="1"/>
    <col min="11016" max="11016" width="12.75" style="10" customWidth="1"/>
    <col min="11017" max="11017" width="12" style="10" customWidth="1"/>
    <col min="11018" max="11018" width="12.25" style="10" customWidth="1"/>
    <col min="11019" max="11019" width="12.125" style="10" customWidth="1"/>
    <col min="11020" max="11021" width="14" style="10" customWidth="1"/>
    <col min="11022" max="11022" width="1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67" width="12.25" style="10" customWidth="1"/>
    <col min="11268" max="11268" width="13.375" style="10" customWidth="1"/>
    <col min="11269" max="11270" width="12.25" style="10" customWidth="1"/>
    <col min="11271" max="11271" width="12.625" style="10" customWidth="1"/>
    <col min="11272" max="11272" width="12.75" style="10" customWidth="1"/>
    <col min="11273" max="11273" width="12" style="10" customWidth="1"/>
    <col min="11274" max="11274" width="12.25" style="10" customWidth="1"/>
    <col min="11275" max="11275" width="12.125" style="10" customWidth="1"/>
    <col min="11276" max="11277" width="14" style="10" customWidth="1"/>
    <col min="11278" max="11278" width="1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3" width="12.25" style="10" customWidth="1"/>
    <col min="11524" max="11524" width="13.375" style="10" customWidth="1"/>
    <col min="11525" max="11526" width="12.25" style="10" customWidth="1"/>
    <col min="11527" max="11527" width="12.625" style="10" customWidth="1"/>
    <col min="11528" max="11528" width="12.75" style="10" customWidth="1"/>
    <col min="11529" max="11529" width="12" style="10" customWidth="1"/>
    <col min="11530" max="11530" width="12.25" style="10" customWidth="1"/>
    <col min="11531" max="11531" width="12.125" style="10" customWidth="1"/>
    <col min="11532" max="11533" width="14" style="10" customWidth="1"/>
    <col min="11534" max="11534" width="1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79" width="12.25" style="10" customWidth="1"/>
    <col min="11780" max="11780" width="13.375" style="10" customWidth="1"/>
    <col min="11781" max="11782" width="12.25" style="10" customWidth="1"/>
    <col min="11783" max="11783" width="12.625" style="10" customWidth="1"/>
    <col min="11784" max="11784" width="12.75" style="10" customWidth="1"/>
    <col min="11785" max="11785" width="12" style="10" customWidth="1"/>
    <col min="11786" max="11786" width="12.25" style="10" customWidth="1"/>
    <col min="11787" max="11787" width="12.125" style="10" customWidth="1"/>
    <col min="11788" max="11789" width="14" style="10" customWidth="1"/>
    <col min="11790" max="11790" width="1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5" width="12.25" style="10" customWidth="1"/>
    <col min="12036" max="12036" width="13.375" style="10" customWidth="1"/>
    <col min="12037" max="12038" width="12.25" style="10" customWidth="1"/>
    <col min="12039" max="12039" width="12.625" style="10" customWidth="1"/>
    <col min="12040" max="12040" width="12.75" style="10" customWidth="1"/>
    <col min="12041" max="12041" width="12" style="10" customWidth="1"/>
    <col min="12042" max="12042" width="12.25" style="10" customWidth="1"/>
    <col min="12043" max="12043" width="12.125" style="10" customWidth="1"/>
    <col min="12044" max="12045" width="14" style="10" customWidth="1"/>
    <col min="12046" max="12046" width="1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1" width="12.25" style="10" customWidth="1"/>
    <col min="12292" max="12292" width="13.375" style="10" customWidth="1"/>
    <col min="12293" max="12294" width="12.25" style="10" customWidth="1"/>
    <col min="12295" max="12295" width="12.625" style="10" customWidth="1"/>
    <col min="12296" max="12296" width="12.75" style="10" customWidth="1"/>
    <col min="12297" max="12297" width="12" style="10" customWidth="1"/>
    <col min="12298" max="12298" width="12.25" style="10" customWidth="1"/>
    <col min="12299" max="12299" width="12.125" style="10" customWidth="1"/>
    <col min="12300" max="12301" width="14" style="10" customWidth="1"/>
    <col min="12302" max="12302" width="1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47" width="12.25" style="10" customWidth="1"/>
    <col min="12548" max="12548" width="13.375" style="10" customWidth="1"/>
    <col min="12549" max="12550" width="12.25" style="10" customWidth="1"/>
    <col min="12551" max="12551" width="12.625" style="10" customWidth="1"/>
    <col min="12552" max="12552" width="12.75" style="10" customWidth="1"/>
    <col min="12553" max="12553" width="12" style="10" customWidth="1"/>
    <col min="12554" max="12554" width="12.25" style="10" customWidth="1"/>
    <col min="12555" max="12555" width="12.125" style="10" customWidth="1"/>
    <col min="12556" max="12557" width="14" style="10" customWidth="1"/>
    <col min="12558" max="12558" width="1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3" width="12.25" style="10" customWidth="1"/>
    <col min="12804" max="12804" width="13.375" style="10" customWidth="1"/>
    <col min="12805" max="12806" width="12.25" style="10" customWidth="1"/>
    <col min="12807" max="12807" width="12.625" style="10" customWidth="1"/>
    <col min="12808" max="12808" width="12.75" style="10" customWidth="1"/>
    <col min="12809" max="12809" width="12" style="10" customWidth="1"/>
    <col min="12810" max="12810" width="12.25" style="10" customWidth="1"/>
    <col min="12811" max="12811" width="12.125" style="10" customWidth="1"/>
    <col min="12812" max="12813" width="14" style="10" customWidth="1"/>
    <col min="12814" max="12814" width="1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59" width="12.25" style="10" customWidth="1"/>
    <col min="13060" max="13060" width="13.375" style="10" customWidth="1"/>
    <col min="13061" max="13062" width="12.25" style="10" customWidth="1"/>
    <col min="13063" max="13063" width="12.625" style="10" customWidth="1"/>
    <col min="13064" max="13064" width="12.75" style="10" customWidth="1"/>
    <col min="13065" max="13065" width="12" style="10" customWidth="1"/>
    <col min="13066" max="13066" width="12.25" style="10" customWidth="1"/>
    <col min="13067" max="13067" width="12.125" style="10" customWidth="1"/>
    <col min="13068" max="13069" width="14" style="10" customWidth="1"/>
    <col min="13070" max="13070" width="1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5" width="12.25" style="10" customWidth="1"/>
    <col min="13316" max="13316" width="13.375" style="10" customWidth="1"/>
    <col min="13317" max="13318" width="12.25" style="10" customWidth="1"/>
    <col min="13319" max="13319" width="12.625" style="10" customWidth="1"/>
    <col min="13320" max="13320" width="12.75" style="10" customWidth="1"/>
    <col min="13321" max="13321" width="12" style="10" customWidth="1"/>
    <col min="13322" max="13322" width="12.25" style="10" customWidth="1"/>
    <col min="13323" max="13323" width="12.125" style="10" customWidth="1"/>
    <col min="13324" max="13325" width="14" style="10" customWidth="1"/>
    <col min="13326" max="13326" width="1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1" width="12.25" style="10" customWidth="1"/>
    <col min="13572" max="13572" width="13.375" style="10" customWidth="1"/>
    <col min="13573" max="13574" width="12.25" style="10" customWidth="1"/>
    <col min="13575" max="13575" width="12.625" style="10" customWidth="1"/>
    <col min="13576" max="13576" width="12.75" style="10" customWidth="1"/>
    <col min="13577" max="13577" width="12" style="10" customWidth="1"/>
    <col min="13578" max="13578" width="12.25" style="10" customWidth="1"/>
    <col min="13579" max="13579" width="12.125" style="10" customWidth="1"/>
    <col min="13580" max="13581" width="14" style="10" customWidth="1"/>
    <col min="13582" max="13582" width="1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27" width="12.25" style="10" customWidth="1"/>
    <col min="13828" max="13828" width="13.375" style="10" customWidth="1"/>
    <col min="13829" max="13830" width="12.25" style="10" customWidth="1"/>
    <col min="13831" max="13831" width="12.625" style="10" customWidth="1"/>
    <col min="13832" max="13832" width="12.75" style="10" customWidth="1"/>
    <col min="13833" max="13833" width="12" style="10" customWidth="1"/>
    <col min="13834" max="13834" width="12.25" style="10" customWidth="1"/>
    <col min="13835" max="13835" width="12.125" style="10" customWidth="1"/>
    <col min="13836" max="13837" width="14" style="10" customWidth="1"/>
    <col min="13838" max="13838" width="1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3" width="12.25" style="10" customWidth="1"/>
    <col min="14084" max="14084" width="13.375" style="10" customWidth="1"/>
    <col min="14085" max="14086" width="12.25" style="10" customWidth="1"/>
    <col min="14087" max="14087" width="12.625" style="10" customWidth="1"/>
    <col min="14088" max="14088" width="12.75" style="10" customWidth="1"/>
    <col min="14089" max="14089" width="12" style="10" customWidth="1"/>
    <col min="14090" max="14090" width="12.25" style="10" customWidth="1"/>
    <col min="14091" max="14091" width="12.125" style="10" customWidth="1"/>
    <col min="14092" max="14093" width="14" style="10" customWidth="1"/>
    <col min="14094" max="14094" width="1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39" width="12.25" style="10" customWidth="1"/>
    <col min="14340" max="14340" width="13.375" style="10" customWidth="1"/>
    <col min="14341" max="14342" width="12.25" style="10" customWidth="1"/>
    <col min="14343" max="14343" width="12.625" style="10" customWidth="1"/>
    <col min="14344" max="14344" width="12.75" style="10" customWidth="1"/>
    <col min="14345" max="14345" width="12" style="10" customWidth="1"/>
    <col min="14346" max="14346" width="12.25" style="10" customWidth="1"/>
    <col min="14347" max="14347" width="12.125" style="10" customWidth="1"/>
    <col min="14348" max="14349" width="14" style="10" customWidth="1"/>
    <col min="14350" max="14350" width="1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5" width="12.25" style="10" customWidth="1"/>
    <col min="14596" max="14596" width="13.375" style="10" customWidth="1"/>
    <col min="14597" max="14598" width="12.25" style="10" customWidth="1"/>
    <col min="14599" max="14599" width="12.625" style="10" customWidth="1"/>
    <col min="14600" max="14600" width="12.75" style="10" customWidth="1"/>
    <col min="14601" max="14601" width="12" style="10" customWidth="1"/>
    <col min="14602" max="14602" width="12.25" style="10" customWidth="1"/>
    <col min="14603" max="14603" width="12.125" style="10" customWidth="1"/>
    <col min="14604" max="14605" width="14" style="10" customWidth="1"/>
    <col min="14606" max="14606" width="1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1" width="12.25" style="10" customWidth="1"/>
    <col min="14852" max="14852" width="13.375" style="10" customWidth="1"/>
    <col min="14853" max="14854" width="12.25" style="10" customWidth="1"/>
    <col min="14855" max="14855" width="12.625" style="10" customWidth="1"/>
    <col min="14856" max="14856" width="12.75" style="10" customWidth="1"/>
    <col min="14857" max="14857" width="12" style="10" customWidth="1"/>
    <col min="14858" max="14858" width="12.25" style="10" customWidth="1"/>
    <col min="14859" max="14859" width="12.125" style="10" customWidth="1"/>
    <col min="14860" max="14861" width="14" style="10" customWidth="1"/>
    <col min="14862" max="14862" width="1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07" width="12.25" style="10" customWidth="1"/>
    <col min="15108" max="15108" width="13.375" style="10" customWidth="1"/>
    <col min="15109" max="15110" width="12.25" style="10" customWidth="1"/>
    <col min="15111" max="15111" width="12.625" style="10" customWidth="1"/>
    <col min="15112" max="15112" width="12.75" style="10" customWidth="1"/>
    <col min="15113" max="15113" width="12" style="10" customWidth="1"/>
    <col min="15114" max="15114" width="12.25" style="10" customWidth="1"/>
    <col min="15115" max="15115" width="12.125" style="10" customWidth="1"/>
    <col min="15116" max="15117" width="14" style="10" customWidth="1"/>
    <col min="15118" max="15118" width="1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3" width="12.25" style="10" customWidth="1"/>
    <col min="15364" max="15364" width="13.375" style="10" customWidth="1"/>
    <col min="15365" max="15366" width="12.25" style="10" customWidth="1"/>
    <col min="15367" max="15367" width="12.625" style="10" customWidth="1"/>
    <col min="15368" max="15368" width="12.75" style="10" customWidth="1"/>
    <col min="15369" max="15369" width="12" style="10" customWidth="1"/>
    <col min="15370" max="15370" width="12.25" style="10" customWidth="1"/>
    <col min="15371" max="15371" width="12.125" style="10" customWidth="1"/>
    <col min="15372" max="15373" width="14" style="10" customWidth="1"/>
    <col min="15374" max="15374" width="1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19" width="12.25" style="10" customWidth="1"/>
    <col min="15620" max="15620" width="13.375" style="10" customWidth="1"/>
    <col min="15621" max="15622" width="12.25" style="10" customWidth="1"/>
    <col min="15623" max="15623" width="12.625" style="10" customWidth="1"/>
    <col min="15624" max="15624" width="12.75" style="10" customWidth="1"/>
    <col min="15625" max="15625" width="12" style="10" customWidth="1"/>
    <col min="15626" max="15626" width="12.25" style="10" customWidth="1"/>
    <col min="15627" max="15627" width="12.125" style="10" customWidth="1"/>
    <col min="15628" max="15629" width="14" style="10" customWidth="1"/>
    <col min="15630" max="15630" width="1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5" width="12.25" style="10" customWidth="1"/>
    <col min="15876" max="15876" width="13.375" style="10" customWidth="1"/>
    <col min="15877" max="15878" width="12.25" style="10" customWidth="1"/>
    <col min="15879" max="15879" width="12.625" style="10" customWidth="1"/>
    <col min="15880" max="15880" width="12.75" style="10" customWidth="1"/>
    <col min="15881" max="15881" width="12" style="10" customWidth="1"/>
    <col min="15882" max="15882" width="12.25" style="10" customWidth="1"/>
    <col min="15883" max="15883" width="12.125" style="10" customWidth="1"/>
    <col min="15884" max="15885" width="14" style="10" customWidth="1"/>
    <col min="15886" max="15886" width="1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1" width="12.25" style="10" customWidth="1"/>
    <col min="16132" max="16132" width="13.375" style="10" customWidth="1"/>
    <col min="16133" max="16134" width="12.25" style="10" customWidth="1"/>
    <col min="16135" max="16135" width="12.625" style="10" customWidth="1"/>
    <col min="16136" max="16136" width="12.75" style="10" customWidth="1"/>
    <col min="16137" max="16137" width="12" style="10" customWidth="1"/>
    <col min="16138" max="16138" width="12.25" style="10" customWidth="1"/>
    <col min="16139" max="16139" width="12.125" style="10" customWidth="1"/>
    <col min="16140" max="16141" width="14" style="10" customWidth="1"/>
    <col min="16142" max="16142" width="1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414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415</v>
      </c>
      <c r="I2" s="44"/>
      <c r="J2" s="44"/>
      <c r="K2" s="44"/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6">
      <c r="A6" s="18" t="s">
        <v>69</v>
      </c>
      <c r="B6" s="19" t="s">
        <v>70</v>
      </c>
      <c r="C6" s="20" t="s">
        <v>70</v>
      </c>
      <c r="D6" s="21">
        <v>342137.56</v>
      </c>
      <c r="E6" s="21">
        <v>233392.4</v>
      </c>
      <c r="F6" s="21">
        <v>319781.19</v>
      </c>
      <c r="G6" s="21">
        <v>272189.76</v>
      </c>
      <c r="H6" s="21"/>
      <c r="I6" s="21"/>
      <c r="J6" s="21"/>
      <c r="K6" s="21"/>
      <c r="L6" s="21"/>
      <c r="M6" s="21"/>
      <c r="N6" s="21"/>
      <c r="O6" s="21"/>
      <c r="P6" s="47">
        <f>SUM(D6:O6)</f>
        <v>1167500.91</v>
      </c>
    </row>
    <row r="7" s="5" customFormat="1" ht="17.25" customHeight="1" spans="1:16">
      <c r="A7" s="22"/>
      <c r="B7" s="23"/>
      <c r="C7" s="20" t="s">
        <v>71</v>
      </c>
      <c r="D7" s="21">
        <v>45979</v>
      </c>
      <c r="E7" s="21">
        <v>19417.73</v>
      </c>
      <c r="F7" s="21">
        <v>22219.1</v>
      </c>
      <c r="G7" s="21">
        <v>22398.67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110014.5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>
        <v>0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>
        <v>0</v>
      </c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>
        <v>0</v>
      </c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>
        <v>0</v>
      </c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/>
      <c r="G12" s="21">
        <v>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>
        <v>0</v>
      </c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>
        <v>700</v>
      </c>
      <c r="E14" s="21">
        <v>9800</v>
      </c>
      <c r="F14" s="21">
        <v>500</v>
      </c>
      <c r="G14" s="21">
        <v>600</v>
      </c>
      <c r="H14" s="21"/>
      <c r="I14" s="21"/>
      <c r="J14" s="21"/>
      <c r="K14" s="21"/>
      <c r="L14" s="21"/>
      <c r="M14" s="21"/>
      <c r="N14" s="21"/>
      <c r="O14" s="21"/>
      <c r="P14" s="47">
        <f t="shared" si="0"/>
        <v>11600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>
        <v>0</v>
      </c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>
        <v>0</v>
      </c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>
        <v>0</v>
      </c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/>
      <c r="G18" s="21">
        <v>0</v>
      </c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11335</v>
      </c>
      <c r="E19" s="21">
        <v>9655</v>
      </c>
      <c r="F19" s="21">
        <v>10258</v>
      </c>
      <c r="G19" s="21">
        <v>10092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41340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>
        <v>0</v>
      </c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>
        <v>0</v>
      </c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22570.38</v>
      </c>
      <c r="E22" s="21">
        <v>21082.74</v>
      </c>
      <c r="F22" s="21">
        <v>-21826.56</v>
      </c>
      <c r="G22" s="21">
        <v>0</v>
      </c>
      <c r="H22" s="21"/>
      <c r="I22" s="21"/>
      <c r="J22" s="21"/>
      <c r="K22" s="21"/>
      <c r="L22" s="21"/>
      <c r="M22" s="21"/>
      <c r="N22" s="21"/>
      <c r="O22" s="21"/>
      <c r="P22" s="47">
        <f t="shared" si="0"/>
        <v>21826.56</v>
      </c>
    </row>
    <row r="23" s="5" customFormat="1" ht="17.25" customHeight="1" spans="1:16">
      <c r="A23" s="22"/>
      <c r="B23" s="24"/>
      <c r="C23" s="25" t="s">
        <v>89</v>
      </c>
      <c r="D23" s="21">
        <v>699.08</v>
      </c>
      <c r="E23" s="21">
        <v>665.08</v>
      </c>
      <c r="F23" s="21"/>
      <c r="G23" s="21">
        <v>-682.08</v>
      </c>
      <c r="H23" s="21"/>
      <c r="I23" s="21"/>
      <c r="J23" s="21"/>
      <c r="K23" s="21"/>
      <c r="L23" s="21"/>
      <c r="M23" s="21"/>
      <c r="N23" s="21"/>
      <c r="O23" s="21"/>
      <c r="P23" s="47">
        <f t="shared" si="0"/>
        <v>682.08</v>
      </c>
    </row>
    <row r="24" s="5" customFormat="1" ht="17.25" customHeight="1" spans="1:16">
      <c r="A24" s="22"/>
      <c r="B24" s="24"/>
      <c r="C24" s="25" t="s">
        <v>90</v>
      </c>
      <c r="D24" s="21">
        <v>831.42</v>
      </c>
      <c r="E24" s="21">
        <v>780.42</v>
      </c>
      <c r="F24" s="21">
        <v>-409.92</v>
      </c>
      <c r="G24" s="21">
        <v>184</v>
      </c>
      <c r="H24" s="21"/>
      <c r="I24" s="21"/>
      <c r="J24" s="21"/>
      <c r="K24" s="21"/>
      <c r="L24" s="21"/>
      <c r="M24" s="21"/>
      <c r="N24" s="21"/>
      <c r="O24" s="21"/>
      <c r="P24" s="47">
        <f t="shared" si="0"/>
        <v>1385.92</v>
      </c>
    </row>
    <row r="25" s="5" customFormat="1" ht="17.25" customHeight="1" spans="1:16">
      <c r="A25" s="22"/>
      <c r="B25" s="24"/>
      <c r="C25" s="25" t="s">
        <v>91</v>
      </c>
      <c r="D25" s="21">
        <v>11431.93</v>
      </c>
      <c r="E25" s="21">
        <v>10674.95</v>
      </c>
      <c r="F25" s="21">
        <v>10813.05</v>
      </c>
      <c r="G25" s="21">
        <v>191.1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33111.03</v>
      </c>
    </row>
    <row r="26" s="5" customFormat="1" ht="17.25" customHeight="1" spans="1:16">
      <c r="A26" s="22"/>
      <c r="B26" s="23"/>
      <c r="C26" s="25" t="s">
        <v>92</v>
      </c>
      <c r="D26" s="21">
        <v>1478.59</v>
      </c>
      <c r="E26" s="21">
        <v>1383.53</v>
      </c>
      <c r="F26" s="21">
        <v>1399.95</v>
      </c>
      <c r="G26" s="21">
        <v>-16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4246.07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>
        <v>0</v>
      </c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>
        <v>0</v>
      </c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>
        <v>475.22</v>
      </c>
      <c r="E29" s="21">
        <v>15.53</v>
      </c>
      <c r="F29" s="21">
        <v>172.71</v>
      </c>
      <c r="G29" s="21">
        <v>1582.45</v>
      </c>
      <c r="H29" s="21"/>
      <c r="I29" s="21"/>
      <c r="J29" s="21"/>
      <c r="K29" s="21"/>
      <c r="L29" s="21"/>
      <c r="M29" s="21"/>
      <c r="N29" s="21"/>
      <c r="O29" s="21"/>
      <c r="P29" s="47">
        <f t="shared" si="0"/>
        <v>2245.91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/>
      <c r="G30" s="21">
        <v>0</v>
      </c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>
        <v>0</v>
      </c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>
        <v>0</v>
      </c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>
        <v>0</v>
      </c>
      <c r="H33" s="21"/>
      <c r="I33" s="21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/>
      <c r="F34" s="21"/>
      <c r="G34" s="21">
        <v>0</v>
      </c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>
        <v>0</v>
      </c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>
        <v>0</v>
      </c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17.2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>
        <v>0</v>
      </c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>
        <v>0</v>
      </c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/>
      <c r="G39" s="21">
        <v>0</v>
      </c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>
        <v>0</v>
      </c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17.25" customHeight="1" spans="1:16">
      <c r="A41" s="29" t="s">
        <v>112</v>
      </c>
      <c r="B41" s="30" t="s">
        <v>113</v>
      </c>
      <c r="C41" s="20" t="s">
        <v>113</v>
      </c>
      <c r="D41" s="21">
        <v>125255.41</v>
      </c>
      <c r="E41" s="21">
        <v>9831.26</v>
      </c>
      <c r="F41" s="21">
        <v>125957.2</v>
      </c>
      <c r="G41" s="21">
        <v>127697.89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388741.76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876.11</v>
      </c>
      <c r="E42" s="21">
        <v>15929.2</v>
      </c>
      <c r="F42" s="21">
        <v>21309.74</v>
      </c>
      <c r="G42" s="21">
        <v>-99209.42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-61094.37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>
        <v>0</v>
      </c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>
        <v>0</v>
      </c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>
        <v>0</v>
      </c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678404.78</v>
      </c>
      <c r="E46" s="21">
        <v>678448.27</v>
      </c>
      <c r="F46" s="21">
        <v>678448.07</v>
      </c>
      <c r="G46" s="21">
        <v>683899.07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2719200.19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>
        <v>0</v>
      </c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/>
      <c r="G48" s="21">
        <v>0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>
        <v>0</v>
      </c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>
        <v>0</v>
      </c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>
        <v>0</v>
      </c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>
        <v>0</v>
      </c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/>
      <c r="G53" s="21">
        <v>0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>
        <v>2330.57</v>
      </c>
      <c r="F54" s="21"/>
      <c r="G54" s="21">
        <v>0</v>
      </c>
      <c r="H54" s="21"/>
      <c r="I54" s="21"/>
      <c r="J54" s="21"/>
      <c r="K54" s="21"/>
      <c r="L54" s="21"/>
      <c r="M54" s="21"/>
      <c r="N54" s="21"/>
      <c r="O54" s="21"/>
      <c r="P54" s="47">
        <f t="shared" si="0"/>
        <v>2330.57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/>
      <c r="G55" s="21">
        <v>0</v>
      </c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>
        <v>0</v>
      </c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>
        <v>0</v>
      </c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>
        <v>0</v>
      </c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>
        <v>0</v>
      </c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>
        <v>0</v>
      </c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>
        <v>0</v>
      </c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>
        <v>0</v>
      </c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1074100.69</v>
      </c>
      <c r="E63" s="21">
        <v>983219.74</v>
      </c>
      <c r="F63" s="21">
        <v>1207460.63</v>
      </c>
      <c r="G63" s="21">
        <v>1136510.02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4401291.08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114923.01</v>
      </c>
      <c r="E64" s="21">
        <v>84878.99</v>
      </c>
      <c r="F64" s="21">
        <v>145101.03</v>
      </c>
      <c r="G64" s="21">
        <v>145117.32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490020.35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183547.12</v>
      </c>
      <c r="E65" s="21">
        <v>130200.09</v>
      </c>
      <c r="F65" s="21">
        <v>226922.42</v>
      </c>
      <c r="G65" s="21">
        <v>216107.28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756776.91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>
        <v>0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v>78066.79</v>
      </c>
      <c r="E67" s="21">
        <v>71552.48</v>
      </c>
      <c r="F67" s="21">
        <v>49986.79</v>
      </c>
      <c r="G67" s="21">
        <v>41504.59</v>
      </c>
      <c r="H67" s="21"/>
      <c r="I67" s="21"/>
      <c r="J67" s="21"/>
      <c r="K67" s="21"/>
      <c r="L67" s="21"/>
      <c r="M67" s="21"/>
      <c r="N67" s="21"/>
      <c r="O67" s="21"/>
      <c r="P67" s="47">
        <f t="shared" si="0"/>
        <v>241110.65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>
        <v>0</v>
      </c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>
        <v>0</v>
      </c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/>
      <c r="G70" s="21">
        <v>0</v>
      </c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>
        <v>0</v>
      </c>
      <c r="H71" s="21"/>
      <c r="I71" s="21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>
        <v>0</v>
      </c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>
        <v>0</v>
      </c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>
        <v>0</v>
      </c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>
        <v>0</v>
      </c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>
        <v>0</v>
      </c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>
        <v>0</v>
      </c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>
        <v>0</v>
      </c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>
        <v>0</v>
      </c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/>
      <c r="E80" s="21"/>
      <c r="F80" s="21">
        <v>10763.96</v>
      </c>
      <c r="G80" s="21">
        <v>7223.56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17987.52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>
        <v>0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>
        <v>0</v>
      </c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>
        <v>97592.53</v>
      </c>
      <c r="E83" s="21">
        <v>73792.13</v>
      </c>
      <c r="F83" s="21">
        <v>113197.51</v>
      </c>
      <c r="G83" s="21">
        <v>95188.51</v>
      </c>
      <c r="H83" s="21"/>
      <c r="I83" s="21"/>
      <c r="J83" s="21"/>
      <c r="K83" s="21"/>
      <c r="L83" s="21"/>
      <c r="M83" s="21"/>
      <c r="N83" s="21"/>
      <c r="O83" s="21"/>
      <c r="P83" s="47">
        <f t="shared" si="1"/>
        <v>379770.68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>
        <v>0</v>
      </c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>
        <v>0</v>
      </c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>
        <v>0</v>
      </c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>
        <v>0</v>
      </c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>
        <v>0</v>
      </c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>
        <v>0</v>
      </c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>
        <v>0</v>
      </c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>
        <v>0</v>
      </c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1088339.49</v>
      </c>
      <c r="E92" s="21">
        <v>1164346.37</v>
      </c>
      <c r="F92" s="21">
        <v>1575172.45</v>
      </c>
      <c r="G92" s="21">
        <v>1536785.2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5364643.51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3878744.11</v>
      </c>
      <c r="E93" s="58">
        <f t="shared" ref="E93:O93" si="2">SUM(E6:E92)</f>
        <v>3521396.48</v>
      </c>
      <c r="F93" s="58">
        <f t="shared" si="2"/>
        <v>4497227.32</v>
      </c>
      <c r="G93" s="58">
        <f t="shared" si="2"/>
        <v>4197363.92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16094731.83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 t="s">
        <v>416</v>
      </c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>
        <f>D93</f>
        <v>3878744.11</v>
      </c>
      <c r="E95" s="21">
        <f t="shared" ref="E95:O95" si="3">E93</f>
        <v>3521396.48</v>
      </c>
      <c r="F95" s="21">
        <f t="shared" si="3"/>
        <v>4497227.32</v>
      </c>
      <c r="G95" s="21">
        <f t="shared" si="3"/>
        <v>4197363.92</v>
      </c>
      <c r="H95" s="21">
        <f t="shared" si="3"/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16094731.83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 t="s">
        <v>416</v>
      </c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2.7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7" customFormat="1" ht="15" customHeight="1" spans="1:16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="8" customFormat="1" ht="16.5" customHeight="1" spans="1:16">
      <c r="A100" s="9"/>
      <c r="B100" s="9"/>
      <c r="C100" s="9"/>
      <c r="D100" s="64" t="b">
        <f>D93=SUM(D94:D97)</f>
        <v>1</v>
      </c>
      <c r="E100" s="64" t="b">
        <f t="shared" ref="E100:P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  <c r="P100" s="64" t="b">
        <f t="shared" si="4"/>
        <v>1</v>
      </c>
    </row>
    <row r="101" s="9" customFormat="1" ht="16.5" customHeigh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2">
      <c r="B102" s="9" t="s">
        <v>393</v>
      </c>
    </row>
    <row r="103" s="9" customFormat="1"/>
  </sheetData>
  <autoFilter ref="A5:Q102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N35:N84 M34:IV34 A34:D34 A100:IV100 G34:I34">
    <cfRule type="cellIs" dxfId="0" priority="39" stopIfTrue="1" operator="equal">
      <formula>"no"</formula>
    </cfRule>
  </conditionalFormatting>
  <conditionalFormatting sqref="N35:N84 M34:IV34 G34:I34 A34:D34 A100:IV100">
    <cfRule type="cellIs" dxfId="0" priority="10" stopIfTrue="1" operator="equal">
      <formula>"no"</formula>
    </cfRule>
    <cfRule type="cellIs" dxfId="0" priority="17" stopIfTrue="1" operator="equal">
      <formula>"no"</formula>
    </cfRule>
    <cfRule type="cellIs" dxfId="0" priority="23" stopIfTrue="1" operator="equal">
      <formula>"no"</formula>
    </cfRule>
    <cfRule type="cellIs" dxfId="0" priority="28" stopIfTrue="1" operator="equal">
      <formula>"no"</formula>
    </cfRule>
    <cfRule type="cellIs" dxfId="0" priority="32" stopIfTrue="1" operator="equal">
      <formula>"no"</formula>
    </cfRule>
    <cfRule type="cellIs" dxfId="0" priority="35" stopIfTrue="1" operator="equal">
      <formula>"no"</formula>
    </cfRule>
    <cfRule type="cellIs" dxfId="0" priority="37" stopIfTrue="1" operator="equal">
      <formula>"no"</formula>
    </cfRule>
    <cfRule type="cellIs" dxfId="0" priority="38" stopIfTrue="1" operator="equal">
      <formula>"no"</formula>
    </cfRule>
  </conditionalFormatting>
  <conditionalFormatting sqref="J34:L34 A34:D34 O34:P34 G34">
    <cfRule type="cellIs" dxfId="0" priority="2" stopIfTrue="1" operator="equal">
      <formula>"no"</formula>
    </cfRule>
  </conditionalFormatting>
  <conditionalFormatting sqref="A99:G99 J99:P99">
    <cfRule type="cellIs" dxfId="0" priority="1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3"/>
  <sheetViews>
    <sheetView workbookViewId="0">
      <pane xSplit="3" ySplit="5" topLeftCell="D78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375" style="10" customWidth="1"/>
    <col min="5" max="6" width="12.25" style="10" customWidth="1"/>
    <col min="7" max="7" width="12.625" style="10" customWidth="1"/>
    <col min="8" max="8" width="12.75" style="10" customWidth="1"/>
    <col min="9" max="9" width="12" style="10" customWidth="1"/>
    <col min="10" max="10" width="12.25" style="10" customWidth="1"/>
    <col min="11" max="11" width="12.125" style="10" customWidth="1"/>
    <col min="12" max="13" width="14" style="10" customWidth="1"/>
    <col min="14" max="14" width="15" style="10" customWidth="1"/>
    <col min="15" max="15" width="16.875" style="10" customWidth="1"/>
    <col min="16" max="16" width="12.625" style="10" customWidth="1"/>
    <col min="17" max="17" width="18.25" style="10" customWidth="1"/>
    <col min="18" max="256" width="9" style="10"/>
    <col min="257" max="257" width="16.125" style="10" customWidth="1"/>
    <col min="258" max="258" width="13.75" style="10" customWidth="1"/>
    <col min="259" max="259" width="12.25" style="10" customWidth="1"/>
    <col min="260" max="260" width="13.375" style="10" customWidth="1"/>
    <col min="261" max="262" width="12.25" style="10" customWidth="1"/>
    <col min="263" max="263" width="12.625" style="10" customWidth="1"/>
    <col min="264" max="264" width="12.75" style="10" customWidth="1"/>
    <col min="265" max="265" width="12" style="10" customWidth="1"/>
    <col min="266" max="266" width="12.25" style="10" customWidth="1"/>
    <col min="267" max="267" width="12.125" style="10" customWidth="1"/>
    <col min="268" max="269" width="14" style="10" customWidth="1"/>
    <col min="270" max="270" width="1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5" width="12.25" style="10" customWidth="1"/>
    <col min="516" max="516" width="13.375" style="10" customWidth="1"/>
    <col min="517" max="518" width="12.25" style="10" customWidth="1"/>
    <col min="519" max="519" width="12.625" style="10" customWidth="1"/>
    <col min="520" max="520" width="12.75" style="10" customWidth="1"/>
    <col min="521" max="521" width="12" style="10" customWidth="1"/>
    <col min="522" max="522" width="12.25" style="10" customWidth="1"/>
    <col min="523" max="523" width="12.125" style="10" customWidth="1"/>
    <col min="524" max="525" width="14" style="10" customWidth="1"/>
    <col min="526" max="526" width="1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1" width="12.25" style="10" customWidth="1"/>
    <col min="772" max="772" width="13.375" style="10" customWidth="1"/>
    <col min="773" max="774" width="12.25" style="10" customWidth="1"/>
    <col min="775" max="775" width="12.625" style="10" customWidth="1"/>
    <col min="776" max="776" width="12.75" style="10" customWidth="1"/>
    <col min="777" max="777" width="12" style="10" customWidth="1"/>
    <col min="778" max="778" width="12.25" style="10" customWidth="1"/>
    <col min="779" max="779" width="12.125" style="10" customWidth="1"/>
    <col min="780" max="781" width="14" style="10" customWidth="1"/>
    <col min="782" max="782" width="1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27" width="12.25" style="10" customWidth="1"/>
    <col min="1028" max="1028" width="13.375" style="10" customWidth="1"/>
    <col min="1029" max="1030" width="12.25" style="10" customWidth="1"/>
    <col min="1031" max="1031" width="12.625" style="10" customWidth="1"/>
    <col min="1032" max="1032" width="12.75" style="10" customWidth="1"/>
    <col min="1033" max="1033" width="12" style="10" customWidth="1"/>
    <col min="1034" max="1034" width="12.25" style="10" customWidth="1"/>
    <col min="1035" max="1035" width="12.125" style="10" customWidth="1"/>
    <col min="1036" max="1037" width="14" style="10" customWidth="1"/>
    <col min="1038" max="1038" width="1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3" width="12.25" style="10" customWidth="1"/>
    <col min="1284" max="1284" width="13.375" style="10" customWidth="1"/>
    <col min="1285" max="1286" width="12.25" style="10" customWidth="1"/>
    <col min="1287" max="1287" width="12.625" style="10" customWidth="1"/>
    <col min="1288" max="1288" width="12.75" style="10" customWidth="1"/>
    <col min="1289" max="1289" width="12" style="10" customWidth="1"/>
    <col min="1290" max="1290" width="12.25" style="10" customWidth="1"/>
    <col min="1291" max="1291" width="12.125" style="10" customWidth="1"/>
    <col min="1292" max="1293" width="14" style="10" customWidth="1"/>
    <col min="1294" max="1294" width="1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39" width="12.25" style="10" customWidth="1"/>
    <col min="1540" max="1540" width="13.375" style="10" customWidth="1"/>
    <col min="1541" max="1542" width="12.25" style="10" customWidth="1"/>
    <col min="1543" max="1543" width="12.625" style="10" customWidth="1"/>
    <col min="1544" max="1544" width="12.75" style="10" customWidth="1"/>
    <col min="1545" max="1545" width="12" style="10" customWidth="1"/>
    <col min="1546" max="1546" width="12.25" style="10" customWidth="1"/>
    <col min="1547" max="1547" width="12.125" style="10" customWidth="1"/>
    <col min="1548" max="1549" width="14" style="10" customWidth="1"/>
    <col min="1550" max="1550" width="1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5" width="12.25" style="10" customWidth="1"/>
    <col min="1796" max="1796" width="13.375" style="10" customWidth="1"/>
    <col min="1797" max="1798" width="12.25" style="10" customWidth="1"/>
    <col min="1799" max="1799" width="12.625" style="10" customWidth="1"/>
    <col min="1800" max="1800" width="12.75" style="10" customWidth="1"/>
    <col min="1801" max="1801" width="12" style="10" customWidth="1"/>
    <col min="1802" max="1802" width="12.25" style="10" customWidth="1"/>
    <col min="1803" max="1803" width="12.125" style="10" customWidth="1"/>
    <col min="1804" max="1805" width="14" style="10" customWidth="1"/>
    <col min="1806" max="1806" width="1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1" width="12.25" style="10" customWidth="1"/>
    <col min="2052" max="2052" width="13.375" style="10" customWidth="1"/>
    <col min="2053" max="2054" width="12.25" style="10" customWidth="1"/>
    <col min="2055" max="2055" width="12.625" style="10" customWidth="1"/>
    <col min="2056" max="2056" width="12.75" style="10" customWidth="1"/>
    <col min="2057" max="2057" width="12" style="10" customWidth="1"/>
    <col min="2058" max="2058" width="12.25" style="10" customWidth="1"/>
    <col min="2059" max="2059" width="12.125" style="10" customWidth="1"/>
    <col min="2060" max="2061" width="14" style="10" customWidth="1"/>
    <col min="2062" max="2062" width="1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07" width="12.25" style="10" customWidth="1"/>
    <col min="2308" max="2308" width="13.375" style="10" customWidth="1"/>
    <col min="2309" max="2310" width="12.25" style="10" customWidth="1"/>
    <col min="2311" max="2311" width="12.625" style="10" customWidth="1"/>
    <col min="2312" max="2312" width="12.75" style="10" customWidth="1"/>
    <col min="2313" max="2313" width="12" style="10" customWidth="1"/>
    <col min="2314" max="2314" width="12.25" style="10" customWidth="1"/>
    <col min="2315" max="2315" width="12.125" style="10" customWidth="1"/>
    <col min="2316" max="2317" width="14" style="10" customWidth="1"/>
    <col min="2318" max="2318" width="1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3" width="12.25" style="10" customWidth="1"/>
    <col min="2564" max="2564" width="13.375" style="10" customWidth="1"/>
    <col min="2565" max="2566" width="12.25" style="10" customWidth="1"/>
    <col min="2567" max="2567" width="12.625" style="10" customWidth="1"/>
    <col min="2568" max="2568" width="12.75" style="10" customWidth="1"/>
    <col min="2569" max="2569" width="12" style="10" customWidth="1"/>
    <col min="2570" max="2570" width="12.25" style="10" customWidth="1"/>
    <col min="2571" max="2571" width="12.125" style="10" customWidth="1"/>
    <col min="2572" max="2573" width="14" style="10" customWidth="1"/>
    <col min="2574" max="2574" width="1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19" width="12.25" style="10" customWidth="1"/>
    <col min="2820" max="2820" width="13.375" style="10" customWidth="1"/>
    <col min="2821" max="2822" width="12.25" style="10" customWidth="1"/>
    <col min="2823" max="2823" width="12.625" style="10" customWidth="1"/>
    <col min="2824" max="2824" width="12.75" style="10" customWidth="1"/>
    <col min="2825" max="2825" width="12" style="10" customWidth="1"/>
    <col min="2826" max="2826" width="12.25" style="10" customWidth="1"/>
    <col min="2827" max="2827" width="12.125" style="10" customWidth="1"/>
    <col min="2828" max="2829" width="14" style="10" customWidth="1"/>
    <col min="2830" max="2830" width="1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5" width="12.25" style="10" customWidth="1"/>
    <col min="3076" max="3076" width="13.375" style="10" customWidth="1"/>
    <col min="3077" max="3078" width="12.25" style="10" customWidth="1"/>
    <col min="3079" max="3079" width="12.625" style="10" customWidth="1"/>
    <col min="3080" max="3080" width="12.75" style="10" customWidth="1"/>
    <col min="3081" max="3081" width="12" style="10" customWidth="1"/>
    <col min="3082" max="3082" width="12.25" style="10" customWidth="1"/>
    <col min="3083" max="3083" width="12.125" style="10" customWidth="1"/>
    <col min="3084" max="3085" width="14" style="10" customWidth="1"/>
    <col min="3086" max="3086" width="1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1" width="12.25" style="10" customWidth="1"/>
    <col min="3332" max="3332" width="13.375" style="10" customWidth="1"/>
    <col min="3333" max="3334" width="12.25" style="10" customWidth="1"/>
    <col min="3335" max="3335" width="12.625" style="10" customWidth="1"/>
    <col min="3336" max="3336" width="12.75" style="10" customWidth="1"/>
    <col min="3337" max="3337" width="12" style="10" customWidth="1"/>
    <col min="3338" max="3338" width="12.25" style="10" customWidth="1"/>
    <col min="3339" max="3339" width="12.125" style="10" customWidth="1"/>
    <col min="3340" max="3341" width="14" style="10" customWidth="1"/>
    <col min="3342" max="3342" width="1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87" width="12.25" style="10" customWidth="1"/>
    <col min="3588" max="3588" width="13.375" style="10" customWidth="1"/>
    <col min="3589" max="3590" width="12.25" style="10" customWidth="1"/>
    <col min="3591" max="3591" width="12.625" style="10" customWidth="1"/>
    <col min="3592" max="3592" width="12.75" style="10" customWidth="1"/>
    <col min="3593" max="3593" width="12" style="10" customWidth="1"/>
    <col min="3594" max="3594" width="12.25" style="10" customWidth="1"/>
    <col min="3595" max="3595" width="12.125" style="10" customWidth="1"/>
    <col min="3596" max="3597" width="14" style="10" customWidth="1"/>
    <col min="3598" max="3598" width="1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3" width="12.25" style="10" customWidth="1"/>
    <col min="3844" max="3844" width="13.375" style="10" customWidth="1"/>
    <col min="3845" max="3846" width="12.25" style="10" customWidth="1"/>
    <col min="3847" max="3847" width="12.625" style="10" customWidth="1"/>
    <col min="3848" max="3848" width="12.75" style="10" customWidth="1"/>
    <col min="3849" max="3849" width="12" style="10" customWidth="1"/>
    <col min="3850" max="3850" width="12.25" style="10" customWidth="1"/>
    <col min="3851" max="3851" width="12.125" style="10" customWidth="1"/>
    <col min="3852" max="3853" width="14" style="10" customWidth="1"/>
    <col min="3854" max="3854" width="1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099" width="12.25" style="10" customWidth="1"/>
    <col min="4100" max="4100" width="13.375" style="10" customWidth="1"/>
    <col min="4101" max="4102" width="12.25" style="10" customWidth="1"/>
    <col min="4103" max="4103" width="12.625" style="10" customWidth="1"/>
    <col min="4104" max="4104" width="12.75" style="10" customWidth="1"/>
    <col min="4105" max="4105" width="12" style="10" customWidth="1"/>
    <col min="4106" max="4106" width="12.25" style="10" customWidth="1"/>
    <col min="4107" max="4107" width="12.125" style="10" customWidth="1"/>
    <col min="4108" max="4109" width="14" style="10" customWidth="1"/>
    <col min="4110" max="4110" width="1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5" width="12.25" style="10" customWidth="1"/>
    <col min="4356" max="4356" width="13.375" style="10" customWidth="1"/>
    <col min="4357" max="4358" width="12.25" style="10" customWidth="1"/>
    <col min="4359" max="4359" width="12.625" style="10" customWidth="1"/>
    <col min="4360" max="4360" width="12.75" style="10" customWidth="1"/>
    <col min="4361" max="4361" width="12" style="10" customWidth="1"/>
    <col min="4362" max="4362" width="12.25" style="10" customWidth="1"/>
    <col min="4363" max="4363" width="12.125" style="10" customWidth="1"/>
    <col min="4364" max="4365" width="14" style="10" customWidth="1"/>
    <col min="4366" max="4366" width="1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1" width="12.25" style="10" customWidth="1"/>
    <col min="4612" max="4612" width="13.375" style="10" customWidth="1"/>
    <col min="4613" max="4614" width="12.25" style="10" customWidth="1"/>
    <col min="4615" max="4615" width="12.625" style="10" customWidth="1"/>
    <col min="4616" max="4616" width="12.75" style="10" customWidth="1"/>
    <col min="4617" max="4617" width="12" style="10" customWidth="1"/>
    <col min="4618" max="4618" width="12.25" style="10" customWidth="1"/>
    <col min="4619" max="4619" width="12.125" style="10" customWidth="1"/>
    <col min="4620" max="4621" width="14" style="10" customWidth="1"/>
    <col min="4622" max="4622" width="1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67" width="12.25" style="10" customWidth="1"/>
    <col min="4868" max="4868" width="13.375" style="10" customWidth="1"/>
    <col min="4869" max="4870" width="12.25" style="10" customWidth="1"/>
    <col min="4871" max="4871" width="12.625" style="10" customWidth="1"/>
    <col min="4872" max="4872" width="12.75" style="10" customWidth="1"/>
    <col min="4873" max="4873" width="12" style="10" customWidth="1"/>
    <col min="4874" max="4874" width="12.25" style="10" customWidth="1"/>
    <col min="4875" max="4875" width="12.125" style="10" customWidth="1"/>
    <col min="4876" max="4877" width="14" style="10" customWidth="1"/>
    <col min="4878" max="4878" width="1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3" width="12.25" style="10" customWidth="1"/>
    <col min="5124" max="5124" width="13.375" style="10" customWidth="1"/>
    <col min="5125" max="5126" width="12.25" style="10" customWidth="1"/>
    <col min="5127" max="5127" width="12.625" style="10" customWidth="1"/>
    <col min="5128" max="5128" width="12.75" style="10" customWidth="1"/>
    <col min="5129" max="5129" width="12" style="10" customWidth="1"/>
    <col min="5130" max="5130" width="12.25" style="10" customWidth="1"/>
    <col min="5131" max="5131" width="12.125" style="10" customWidth="1"/>
    <col min="5132" max="5133" width="14" style="10" customWidth="1"/>
    <col min="5134" max="5134" width="1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79" width="12.25" style="10" customWidth="1"/>
    <col min="5380" max="5380" width="13.375" style="10" customWidth="1"/>
    <col min="5381" max="5382" width="12.25" style="10" customWidth="1"/>
    <col min="5383" max="5383" width="12.625" style="10" customWidth="1"/>
    <col min="5384" max="5384" width="12.75" style="10" customWidth="1"/>
    <col min="5385" max="5385" width="12" style="10" customWidth="1"/>
    <col min="5386" max="5386" width="12.25" style="10" customWidth="1"/>
    <col min="5387" max="5387" width="12.125" style="10" customWidth="1"/>
    <col min="5388" max="5389" width="14" style="10" customWidth="1"/>
    <col min="5390" max="5390" width="1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5" width="12.25" style="10" customWidth="1"/>
    <col min="5636" max="5636" width="13.375" style="10" customWidth="1"/>
    <col min="5637" max="5638" width="12.25" style="10" customWidth="1"/>
    <col min="5639" max="5639" width="12.625" style="10" customWidth="1"/>
    <col min="5640" max="5640" width="12.75" style="10" customWidth="1"/>
    <col min="5641" max="5641" width="12" style="10" customWidth="1"/>
    <col min="5642" max="5642" width="12.25" style="10" customWidth="1"/>
    <col min="5643" max="5643" width="12.125" style="10" customWidth="1"/>
    <col min="5644" max="5645" width="14" style="10" customWidth="1"/>
    <col min="5646" max="5646" width="1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1" width="12.25" style="10" customWidth="1"/>
    <col min="5892" max="5892" width="13.375" style="10" customWidth="1"/>
    <col min="5893" max="5894" width="12.25" style="10" customWidth="1"/>
    <col min="5895" max="5895" width="12.625" style="10" customWidth="1"/>
    <col min="5896" max="5896" width="12.75" style="10" customWidth="1"/>
    <col min="5897" max="5897" width="12" style="10" customWidth="1"/>
    <col min="5898" max="5898" width="12.25" style="10" customWidth="1"/>
    <col min="5899" max="5899" width="12.125" style="10" customWidth="1"/>
    <col min="5900" max="5901" width="14" style="10" customWidth="1"/>
    <col min="5902" max="5902" width="1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47" width="12.25" style="10" customWidth="1"/>
    <col min="6148" max="6148" width="13.375" style="10" customWidth="1"/>
    <col min="6149" max="6150" width="12.25" style="10" customWidth="1"/>
    <col min="6151" max="6151" width="12.625" style="10" customWidth="1"/>
    <col min="6152" max="6152" width="12.75" style="10" customWidth="1"/>
    <col min="6153" max="6153" width="12" style="10" customWidth="1"/>
    <col min="6154" max="6154" width="12.25" style="10" customWidth="1"/>
    <col min="6155" max="6155" width="12.125" style="10" customWidth="1"/>
    <col min="6156" max="6157" width="14" style="10" customWidth="1"/>
    <col min="6158" max="6158" width="1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3" width="12.25" style="10" customWidth="1"/>
    <col min="6404" max="6404" width="13.375" style="10" customWidth="1"/>
    <col min="6405" max="6406" width="12.25" style="10" customWidth="1"/>
    <col min="6407" max="6407" width="12.625" style="10" customWidth="1"/>
    <col min="6408" max="6408" width="12.75" style="10" customWidth="1"/>
    <col min="6409" max="6409" width="12" style="10" customWidth="1"/>
    <col min="6410" max="6410" width="12.25" style="10" customWidth="1"/>
    <col min="6411" max="6411" width="12.125" style="10" customWidth="1"/>
    <col min="6412" max="6413" width="14" style="10" customWidth="1"/>
    <col min="6414" max="6414" width="1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59" width="12.25" style="10" customWidth="1"/>
    <col min="6660" max="6660" width="13.375" style="10" customWidth="1"/>
    <col min="6661" max="6662" width="12.25" style="10" customWidth="1"/>
    <col min="6663" max="6663" width="12.625" style="10" customWidth="1"/>
    <col min="6664" max="6664" width="12.75" style="10" customWidth="1"/>
    <col min="6665" max="6665" width="12" style="10" customWidth="1"/>
    <col min="6666" max="6666" width="12.25" style="10" customWidth="1"/>
    <col min="6667" max="6667" width="12.125" style="10" customWidth="1"/>
    <col min="6668" max="6669" width="14" style="10" customWidth="1"/>
    <col min="6670" max="6670" width="1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5" width="12.25" style="10" customWidth="1"/>
    <col min="6916" max="6916" width="13.375" style="10" customWidth="1"/>
    <col min="6917" max="6918" width="12.25" style="10" customWidth="1"/>
    <col min="6919" max="6919" width="12.625" style="10" customWidth="1"/>
    <col min="6920" max="6920" width="12.75" style="10" customWidth="1"/>
    <col min="6921" max="6921" width="12" style="10" customWidth="1"/>
    <col min="6922" max="6922" width="12.25" style="10" customWidth="1"/>
    <col min="6923" max="6923" width="12.125" style="10" customWidth="1"/>
    <col min="6924" max="6925" width="14" style="10" customWidth="1"/>
    <col min="6926" max="6926" width="1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1" width="12.25" style="10" customWidth="1"/>
    <col min="7172" max="7172" width="13.375" style="10" customWidth="1"/>
    <col min="7173" max="7174" width="12.25" style="10" customWidth="1"/>
    <col min="7175" max="7175" width="12.625" style="10" customWidth="1"/>
    <col min="7176" max="7176" width="12.75" style="10" customWidth="1"/>
    <col min="7177" max="7177" width="12" style="10" customWidth="1"/>
    <col min="7178" max="7178" width="12.25" style="10" customWidth="1"/>
    <col min="7179" max="7179" width="12.125" style="10" customWidth="1"/>
    <col min="7180" max="7181" width="14" style="10" customWidth="1"/>
    <col min="7182" max="7182" width="1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27" width="12.25" style="10" customWidth="1"/>
    <col min="7428" max="7428" width="13.375" style="10" customWidth="1"/>
    <col min="7429" max="7430" width="12.25" style="10" customWidth="1"/>
    <col min="7431" max="7431" width="12.625" style="10" customWidth="1"/>
    <col min="7432" max="7432" width="12.75" style="10" customWidth="1"/>
    <col min="7433" max="7433" width="12" style="10" customWidth="1"/>
    <col min="7434" max="7434" width="12.25" style="10" customWidth="1"/>
    <col min="7435" max="7435" width="12.125" style="10" customWidth="1"/>
    <col min="7436" max="7437" width="14" style="10" customWidth="1"/>
    <col min="7438" max="7438" width="1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3" width="12.25" style="10" customWidth="1"/>
    <col min="7684" max="7684" width="13.375" style="10" customWidth="1"/>
    <col min="7685" max="7686" width="12.25" style="10" customWidth="1"/>
    <col min="7687" max="7687" width="12.625" style="10" customWidth="1"/>
    <col min="7688" max="7688" width="12.75" style="10" customWidth="1"/>
    <col min="7689" max="7689" width="12" style="10" customWidth="1"/>
    <col min="7690" max="7690" width="12.25" style="10" customWidth="1"/>
    <col min="7691" max="7691" width="12.125" style="10" customWidth="1"/>
    <col min="7692" max="7693" width="14" style="10" customWidth="1"/>
    <col min="7694" max="7694" width="1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39" width="12.25" style="10" customWidth="1"/>
    <col min="7940" max="7940" width="13.375" style="10" customWidth="1"/>
    <col min="7941" max="7942" width="12.25" style="10" customWidth="1"/>
    <col min="7943" max="7943" width="12.625" style="10" customWidth="1"/>
    <col min="7944" max="7944" width="12.75" style="10" customWidth="1"/>
    <col min="7945" max="7945" width="12" style="10" customWidth="1"/>
    <col min="7946" max="7946" width="12.25" style="10" customWidth="1"/>
    <col min="7947" max="7947" width="12.125" style="10" customWidth="1"/>
    <col min="7948" max="7949" width="14" style="10" customWidth="1"/>
    <col min="7950" max="7950" width="1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5" width="12.25" style="10" customWidth="1"/>
    <col min="8196" max="8196" width="13.375" style="10" customWidth="1"/>
    <col min="8197" max="8198" width="12.25" style="10" customWidth="1"/>
    <col min="8199" max="8199" width="12.625" style="10" customWidth="1"/>
    <col min="8200" max="8200" width="12.75" style="10" customWidth="1"/>
    <col min="8201" max="8201" width="12" style="10" customWidth="1"/>
    <col min="8202" max="8202" width="12.25" style="10" customWidth="1"/>
    <col min="8203" max="8203" width="12.125" style="10" customWidth="1"/>
    <col min="8204" max="8205" width="14" style="10" customWidth="1"/>
    <col min="8206" max="8206" width="1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1" width="12.25" style="10" customWidth="1"/>
    <col min="8452" max="8452" width="13.375" style="10" customWidth="1"/>
    <col min="8453" max="8454" width="12.25" style="10" customWidth="1"/>
    <col min="8455" max="8455" width="12.625" style="10" customWidth="1"/>
    <col min="8456" max="8456" width="12.75" style="10" customWidth="1"/>
    <col min="8457" max="8457" width="12" style="10" customWidth="1"/>
    <col min="8458" max="8458" width="12.25" style="10" customWidth="1"/>
    <col min="8459" max="8459" width="12.125" style="10" customWidth="1"/>
    <col min="8460" max="8461" width="14" style="10" customWidth="1"/>
    <col min="8462" max="8462" width="1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07" width="12.25" style="10" customWidth="1"/>
    <col min="8708" max="8708" width="13.375" style="10" customWidth="1"/>
    <col min="8709" max="8710" width="12.25" style="10" customWidth="1"/>
    <col min="8711" max="8711" width="12.625" style="10" customWidth="1"/>
    <col min="8712" max="8712" width="12.75" style="10" customWidth="1"/>
    <col min="8713" max="8713" width="12" style="10" customWidth="1"/>
    <col min="8714" max="8714" width="12.25" style="10" customWidth="1"/>
    <col min="8715" max="8715" width="12.125" style="10" customWidth="1"/>
    <col min="8716" max="8717" width="14" style="10" customWidth="1"/>
    <col min="8718" max="8718" width="1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3" width="12.25" style="10" customWidth="1"/>
    <col min="8964" max="8964" width="13.375" style="10" customWidth="1"/>
    <col min="8965" max="8966" width="12.25" style="10" customWidth="1"/>
    <col min="8967" max="8967" width="12.625" style="10" customWidth="1"/>
    <col min="8968" max="8968" width="12.75" style="10" customWidth="1"/>
    <col min="8969" max="8969" width="12" style="10" customWidth="1"/>
    <col min="8970" max="8970" width="12.25" style="10" customWidth="1"/>
    <col min="8971" max="8971" width="12.125" style="10" customWidth="1"/>
    <col min="8972" max="8973" width="14" style="10" customWidth="1"/>
    <col min="8974" max="8974" width="1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19" width="12.25" style="10" customWidth="1"/>
    <col min="9220" max="9220" width="13.375" style="10" customWidth="1"/>
    <col min="9221" max="9222" width="12.25" style="10" customWidth="1"/>
    <col min="9223" max="9223" width="12.625" style="10" customWidth="1"/>
    <col min="9224" max="9224" width="12.75" style="10" customWidth="1"/>
    <col min="9225" max="9225" width="12" style="10" customWidth="1"/>
    <col min="9226" max="9226" width="12.25" style="10" customWidth="1"/>
    <col min="9227" max="9227" width="12.125" style="10" customWidth="1"/>
    <col min="9228" max="9229" width="14" style="10" customWidth="1"/>
    <col min="9230" max="9230" width="1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5" width="12.25" style="10" customWidth="1"/>
    <col min="9476" max="9476" width="13.375" style="10" customWidth="1"/>
    <col min="9477" max="9478" width="12.25" style="10" customWidth="1"/>
    <col min="9479" max="9479" width="12.625" style="10" customWidth="1"/>
    <col min="9480" max="9480" width="12.75" style="10" customWidth="1"/>
    <col min="9481" max="9481" width="12" style="10" customWidth="1"/>
    <col min="9482" max="9482" width="12.25" style="10" customWidth="1"/>
    <col min="9483" max="9483" width="12.125" style="10" customWidth="1"/>
    <col min="9484" max="9485" width="14" style="10" customWidth="1"/>
    <col min="9486" max="9486" width="1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1" width="12.25" style="10" customWidth="1"/>
    <col min="9732" max="9732" width="13.375" style="10" customWidth="1"/>
    <col min="9733" max="9734" width="12.25" style="10" customWidth="1"/>
    <col min="9735" max="9735" width="12.625" style="10" customWidth="1"/>
    <col min="9736" max="9736" width="12.75" style="10" customWidth="1"/>
    <col min="9737" max="9737" width="12" style="10" customWidth="1"/>
    <col min="9738" max="9738" width="12.25" style="10" customWidth="1"/>
    <col min="9739" max="9739" width="12.125" style="10" customWidth="1"/>
    <col min="9740" max="9741" width="14" style="10" customWidth="1"/>
    <col min="9742" max="9742" width="1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87" width="12.25" style="10" customWidth="1"/>
    <col min="9988" max="9988" width="13.375" style="10" customWidth="1"/>
    <col min="9989" max="9990" width="12.25" style="10" customWidth="1"/>
    <col min="9991" max="9991" width="12.625" style="10" customWidth="1"/>
    <col min="9992" max="9992" width="12.75" style="10" customWidth="1"/>
    <col min="9993" max="9993" width="12" style="10" customWidth="1"/>
    <col min="9994" max="9994" width="12.25" style="10" customWidth="1"/>
    <col min="9995" max="9995" width="12.125" style="10" customWidth="1"/>
    <col min="9996" max="9997" width="14" style="10" customWidth="1"/>
    <col min="9998" max="9998" width="1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3" width="12.25" style="10" customWidth="1"/>
    <col min="10244" max="10244" width="13.375" style="10" customWidth="1"/>
    <col min="10245" max="10246" width="12.25" style="10" customWidth="1"/>
    <col min="10247" max="10247" width="12.625" style="10" customWidth="1"/>
    <col min="10248" max="10248" width="12.75" style="10" customWidth="1"/>
    <col min="10249" max="10249" width="12" style="10" customWidth="1"/>
    <col min="10250" max="10250" width="12.25" style="10" customWidth="1"/>
    <col min="10251" max="10251" width="12.125" style="10" customWidth="1"/>
    <col min="10252" max="10253" width="14" style="10" customWidth="1"/>
    <col min="10254" max="10254" width="1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499" width="12.25" style="10" customWidth="1"/>
    <col min="10500" max="10500" width="13.375" style="10" customWidth="1"/>
    <col min="10501" max="10502" width="12.25" style="10" customWidth="1"/>
    <col min="10503" max="10503" width="12.625" style="10" customWidth="1"/>
    <col min="10504" max="10504" width="12.75" style="10" customWidth="1"/>
    <col min="10505" max="10505" width="12" style="10" customWidth="1"/>
    <col min="10506" max="10506" width="12.25" style="10" customWidth="1"/>
    <col min="10507" max="10507" width="12.125" style="10" customWidth="1"/>
    <col min="10508" max="10509" width="14" style="10" customWidth="1"/>
    <col min="10510" max="10510" width="1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5" width="12.25" style="10" customWidth="1"/>
    <col min="10756" max="10756" width="13.375" style="10" customWidth="1"/>
    <col min="10757" max="10758" width="12.25" style="10" customWidth="1"/>
    <col min="10759" max="10759" width="12.625" style="10" customWidth="1"/>
    <col min="10760" max="10760" width="12.75" style="10" customWidth="1"/>
    <col min="10761" max="10761" width="12" style="10" customWidth="1"/>
    <col min="10762" max="10762" width="12.25" style="10" customWidth="1"/>
    <col min="10763" max="10763" width="12.125" style="10" customWidth="1"/>
    <col min="10764" max="10765" width="14" style="10" customWidth="1"/>
    <col min="10766" max="10766" width="1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1" width="12.25" style="10" customWidth="1"/>
    <col min="11012" max="11012" width="13.375" style="10" customWidth="1"/>
    <col min="11013" max="11014" width="12.25" style="10" customWidth="1"/>
    <col min="11015" max="11015" width="12.625" style="10" customWidth="1"/>
    <col min="11016" max="11016" width="12.75" style="10" customWidth="1"/>
    <col min="11017" max="11017" width="12" style="10" customWidth="1"/>
    <col min="11018" max="11018" width="12.25" style="10" customWidth="1"/>
    <col min="11019" max="11019" width="12.125" style="10" customWidth="1"/>
    <col min="11020" max="11021" width="14" style="10" customWidth="1"/>
    <col min="11022" max="11022" width="1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67" width="12.25" style="10" customWidth="1"/>
    <col min="11268" max="11268" width="13.375" style="10" customWidth="1"/>
    <col min="11269" max="11270" width="12.25" style="10" customWidth="1"/>
    <col min="11271" max="11271" width="12.625" style="10" customWidth="1"/>
    <col min="11272" max="11272" width="12.75" style="10" customWidth="1"/>
    <col min="11273" max="11273" width="12" style="10" customWidth="1"/>
    <col min="11274" max="11274" width="12.25" style="10" customWidth="1"/>
    <col min="11275" max="11275" width="12.125" style="10" customWidth="1"/>
    <col min="11276" max="11277" width="14" style="10" customWidth="1"/>
    <col min="11278" max="11278" width="1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3" width="12.25" style="10" customWidth="1"/>
    <col min="11524" max="11524" width="13.375" style="10" customWidth="1"/>
    <col min="11525" max="11526" width="12.25" style="10" customWidth="1"/>
    <col min="11527" max="11527" width="12.625" style="10" customWidth="1"/>
    <col min="11528" max="11528" width="12.75" style="10" customWidth="1"/>
    <col min="11529" max="11529" width="12" style="10" customWidth="1"/>
    <col min="11530" max="11530" width="12.25" style="10" customWidth="1"/>
    <col min="11531" max="11531" width="12.125" style="10" customWidth="1"/>
    <col min="11532" max="11533" width="14" style="10" customWidth="1"/>
    <col min="11534" max="11534" width="1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79" width="12.25" style="10" customWidth="1"/>
    <col min="11780" max="11780" width="13.375" style="10" customWidth="1"/>
    <col min="11781" max="11782" width="12.25" style="10" customWidth="1"/>
    <col min="11783" max="11783" width="12.625" style="10" customWidth="1"/>
    <col min="11784" max="11784" width="12.75" style="10" customWidth="1"/>
    <col min="11785" max="11785" width="12" style="10" customWidth="1"/>
    <col min="11786" max="11786" width="12.25" style="10" customWidth="1"/>
    <col min="11787" max="11787" width="12.125" style="10" customWidth="1"/>
    <col min="11788" max="11789" width="14" style="10" customWidth="1"/>
    <col min="11790" max="11790" width="1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5" width="12.25" style="10" customWidth="1"/>
    <col min="12036" max="12036" width="13.375" style="10" customWidth="1"/>
    <col min="12037" max="12038" width="12.25" style="10" customWidth="1"/>
    <col min="12039" max="12039" width="12.625" style="10" customWidth="1"/>
    <col min="12040" max="12040" width="12.75" style="10" customWidth="1"/>
    <col min="12041" max="12041" width="12" style="10" customWidth="1"/>
    <col min="12042" max="12042" width="12.25" style="10" customWidth="1"/>
    <col min="12043" max="12043" width="12.125" style="10" customWidth="1"/>
    <col min="12044" max="12045" width="14" style="10" customWidth="1"/>
    <col min="12046" max="12046" width="1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1" width="12.25" style="10" customWidth="1"/>
    <col min="12292" max="12292" width="13.375" style="10" customWidth="1"/>
    <col min="12293" max="12294" width="12.25" style="10" customWidth="1"/>
    <col min="12295" max="12295" width="12.625" style="10" customWidth="1"/>
    <col min="12296" max="12296" width="12.75" style="10" customWidth="1"/>
    <col min="12297" max="12297" width="12" style="10" customWidth="1"/>
    <col min="12298" max="12298" width="12.25" style="10" customWidth="1"/>
    <col min="12299" max="12299" width="12.125" style="10" customWidth="1"/>
    <col min="12300" max="12301" width="14" style="10" customWidth="1"/>
    <col min="12302" max="12302" width="1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47" width="12.25" style="10" customWidth="1"/>
    <col min="12548" max="12548" width="13.375" style="10" customWidth="1"/>
    <col min="12549" max="12550" width="12.25" style="10" customWidth="1"/>
    <col min="12551" max="12551" width="12.625" style="10" customWidth="1"/>
    <col min="12552" max="12552" width="12.75" style="10" customWidth="1"/>
    <col min="12553" max="12553" width="12" style="10" customWidth="1"/>
    <col min="12554" max="12554" width="12.25" style="10" customWidth="1"/>
    <col min="12555" max="12555" width="12.125" style="10" customWidth="1"/>
    <col min="12556" max="12557" width="14" style="10" customWidth="1"/>
    <col min="12558" max="12558" width="1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3" width="12.25" style="10" customWidth="1"/>
    <col min="12804" max="12804" width="13.375" style="10" customWidth="1"/>
    <col min="12805" max="12806" width="12.25" style="10" customWidth="1"/>
    <col min="12807" max="12807" width="12.625" style="10" customWidth="1"/>
    <col min="12808" max="12808" width="12.75" style="10" customWidth="1"/>
    <col min="12809" max="12809" width="12" style="10" customWidth="1"/>
    <col min="12810" max="12810" width="12.25" style="10" customWidth="1"/>
    <col min="12811" max="12811" width="12.125" style="10" customWidth="1"/>
    <col min="12812" max="12813" width="14" style="10" customWidth="1"/>
    <col min="12814" max="12814" width="1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59" width="12.25" style="10" customWidth="1"/>
    <col min="13060" max="13060" width="13.375" style="10" customWidth="1"/>
    <col min="13061" max="13062" width="12.25" style="10" customWidth="1"/>
    <col min="13063" max="13063" width="12.625" style="10" customWidth="1"/>
    <col min="13064" max="13064" width="12.75" style="10" customWidth="1"/>
    <col min="13065" max="13065" width="12" style="10" customWidth="1"/>
    <col min="13066" max="13066" width="12.25" style="10" customWidth="1"/>
    <col min="13067" max="13067" width="12.125" style="10" customWidth="1"/>
    <col min="13068" max="13069" width="14" style="10" customWidth="1"/>
    <col min="13070" max="13070" width="1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5" width="12.25" style="10" customWidth="1"/>
    <col min="13316" max="13316" width="13.375" style="10" customWidth="1"/>
    <col min="13317" max="13318" width="12.25" style="10" customWidth="1"/>
    <col min="13319" max="13319" width="12.625" style="10" customWidth="1"/>
    <col min="13320" max="13320" width="12.75" style="10" customWidth="1"/>
    <col min="13321" max="13321" width="12" style="10" customWidth="1"/>
    <col min="13322" max="13322" width="12.25" style="10" customWidth="1"/>
    <col min="13323" max="13323" width="12.125" style="10" customWidth="1"/>
    <col min="13324" max="13325" width="14" style="10" customWidth="1"/>
    <col min="13326" max="13326" width="1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1" width="12.25" style="10" customWidth="1"/>
    <col min="13572" max="13572" width="13.375" style="10" customWidth="1"/>
    <col min="13573" max="13574" width="12.25" style="10" customWidth="1"/>
    <col min="13575" max="13575" width="12.625" style="10" customWidth="1"/>
    <col min="13576" max="13576" width="12.75" style="10" customWidth="1"/>
    <col min="13577" max="13577" width="12" style="10" customWidth="1"/>
    <col min="13578" max="13578" width="12.25" style="10" customWidth="1"/>
    <col min="13579" max="13579" width="12.125" style="10" customWidth="1"/>
    <col min="13580" max="13581" width="14" style="10" customWidth="1"/>
    <col min="13582" max="13582" width="1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27" width="12.25" style="10" customWidth="1"/>
    <col min="13828" max="13828" width="13.375" style="10" customWidth="1"/>
    <col min="13829" max="13830" width="12.25" style="10" customWidth="1"/>
    <col min="13831" max="13831" width="12.625" style="10" customWidth="1"/>
    <col min="13832" max="13832" width="12.75" style="10" customWidth="1"/>
    <col min="13833" max="13833" width="12" style="10" customWidth="1"/>
    <col min="13834" max="13834" width="12.25" style="10" customWidth="1"/>
    <col min="13835" max="13835" width="12.125" style="10" customWidth="1"/>
    <col min="13836" max="13837" width="14" style="10" customWidth="1"/>
    <col min="13838" max="13838" width="1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3" width="12.25" style="10" customWidth="1"/>
    <col min="14084" max="14084" width="13.375" style="10" customWidth="1"/>
    <col min="14085" max="14086" width="12.25" style="10" customWidth="1"/>
    <col min="14087" max="14087" width="12.625" style="10" customWidth="1"/>
    <col min="14088" max="14088" width="12.75" style="10" customWidth="1"/>
    <col min="14089" max="14089" width="12" style="10" customWidth="1"/>
    <col min="14090" max="14090" width="12.25" style="10" customWidth="1"/>
    <col min="14091" max="14091" width="12.125" style="10" customWidth="1"/>
    <col min="14092" max="14093" width="14" style="10" customWidth="1"/>
    <col min="14094" max="14094" width="1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39" width="12.25" style="10" customWidth="1"/>
    <col min="14340" max="14340" width="13.375" style="10" customWidth="1"/>
    <col min="14341" max="14342" width="12.25" style="10" customWidth="1"/>
    <col min="14343" max="14343" width="12.625" style="10" customWidth="1"/>
    <col min="14344" max="14344" width="12.75" style="10" customWidth="1"/>
    <col min="14345" max="14345" width="12" style="10" customWidth="1"/>
    <col min="14346" max="14346" width="12.25" style="10" customWidth="1"/>
    <col min="14347" max="14347" width="12.125" style="10" customWidth="1"/>
    <col min="14348" max="14349" width="14" style="10" customWidth="1"/>
    <col min="14350" max="14350" width="1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5" width="12.25" style="10" customWidth="1"/>
    <col min="14596" max="14596" width="13.375" style="10" customWidth="1"/>
    <col min="14597" max="14598" width="12.25" style="10" customWidth="1"/>
    <col min="14599" max="14599" width="12.625" style="10" customWidth="1"/>
    <col min="14600" max="14600" width="12.75" style="10" customWidth="1"/>
    <col min="14601" max="14601" width="12" style="10" customWidth="1"/>
    <col min="14602" max="14602" width="12.25" style="10" customWidth="1"/>
    <col min="14603" max="14603" width="12.125" style="10" customWidth="1"/>
    <col min="14604" max="14605" width="14" style="10" customWidth="1"/>
    <col min="14606" max="14606" width="1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1" width="12.25" style="10" customWidth="1"/>
    <col min="14852" max="14852" width="13.375" style="10" customWidth="1"/>
    <col min="14853" max="14854" width="12.25" style="10" customWidth="1"/>
    <col min="14855" max="14855" width="12.625" style="10" customWidth="1"/>
    <col min="14856" max="14856" width="12.75" style="10" customWidth="1"/>
    <col min="14857" max="14857" width="12" style="10" customWidth="1"/>
    <col min="14858" max="14858" width="12.25" style="10" customWidth="1"/>
    <col min="14859" max="14859" width="12.125" style="10" customWidth="1"/>
    <col min="14860" max="14861" width="14" style="10" customWidth="1"/>
    <col min="14862" max="14862" width="1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07" width="12.25" style="10" customWidth="1"/>
    <col min="15108" max="15108" width="13.375" style="10" customWidth="1"/>
    <col min="15109" max="15110" width="12.25" style="10" customWidth="1"/>
    <col min="15111" max="15111" width="12.625" style="10" customWidth="1"/>
    <col min="15112" max="15112" width="12.75" style="10" customWidth="1"/>
    <col min="15113" max="15113" width="12" style="10" customWidth="1"/>
    <col min="15114" max="15114" width="12.25" style="10" customWidth="1"/>
    <col min="15115" max="15115" width="12.125" style="10" customWidth="1"/>
    <col min="15116" max="15117" width="14" style="10" customWidth="1"/>
    <col min="15118" max="15118" width="1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3" width="12.25" style="10" customWidth="1"/>
    <col min="15364" max="15364" width="13.375" style="10" customWidth="1"/>
    <col min="15365" max="15366" width="12.25" style="10" customWidth="1"/>
    <col min="15367" max="15367" width="12.625" style="10" customWidth="1"/>
    <col min="15368" max="15368" width="12.75" style="10" customWidth="1"/>
    <col min="15369" max="15369" width="12" style="10" customWidth="1"/>
    <col min="15370" max="15370" width="12.25" style="10" customWidth="1"/>
    <col min="15371" max="15371" width="12.125" style="10" customWidth="1"/>
    <col min="15372" max="15373" width="14" style="10" customWidth="1"/>
    <col min="15374" max="15374" width="1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19" width="12.25" style="10" customWidth="1"/>
    <col min="15620" max="15620" width="13.375" style="10" customWidth="1"/>
    <col min="15621" max="15622" width="12.25" style="10" customWidth="1"/>
    <col min="15623" max="15623" width="12.625" style="10" customWidth="1"/>
    <col min="15624" max="15624" width="12.75" style="10" customWidth="1"/>
    <col min="15625" max="15625" width="12" style="10" customWidth="1"/>
    <col min="15626" max="15626" width="12.25" style="10" customWidth="1"/>
    <col min="15627" max="15627" width="12.125" style="10" customWidth="1"/>
    <col min="15628" max="15629" width="14" style="10" customWidth="1"/>
    <col min="15630" max="15630" width="1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5" width="12.25" style="10" customWidth="1"/>
    <col min="15876" max="15876" width="13.375" style="10" customWidth="1"/>
    <col min="15877" max="15878" width="12.25" style="10" customWidth="1"/>
    <col min="15879" max="15879" width="12.625" style="10" customWidth="1"/>
    <col min="15880" max="15880" width="12.75" style="10" customWidth="1"/>
    <col min="15881" max="15881" width="12" style="10" customWidth="1"/>
    <col min="15882" max="15882" width="12.25" style="10" customWidth="1"/>
    <col min="15883" max="15883" width="12.125" style="10" customWidth="1"/>
    <col min="15884" max="15885" width="14" style="10" customWidth="1"/>
    <col min="15886" max="15886" width="1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1" width="12.25" style="10" customWidth="1"/>
    <col min="16132" max="16132" width="13.375" style="10" customWidth="1"/>
    <col min="16133" max="16134" width="12.25" style="10" customWidth="1"/>
    <col min="16135" max="16135" width="12.625" style="10" customWidth="1"/>
    <col min="16136" max="16136" width="12.75" style="10" customWidth="1"/>
    <col min="16137" max="16137" width="12" style="10" customWidth="1"/>
    <col min="16138" max="16138" width="12.25" style="10" customWidth="1"/>
    <col min="16139" max="16139" width="12.125" style="10" customWidth="1"/>
    <col min="16140" max="16141" width="14" style="10" customWidth="1"/>
    <col min="16142" max="16142" width="1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5.5" spans="1:14">
      <c r="A1" s="69" t="s">
        <v>417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spans="1:11">
      <c r="A2" s="2" t="s">
        <v>418</v>
      </c>
      <c r="I2" s="44"/>
      <c r="J2" s="44"/>
      <c r="K2" s="44"/>
    </row>
    <row r="3" s="3" customFormat="1" ht="13.5" spans="1:13">
      <c r="A3" s="12" t="str">
        <f>'G-高新'!A3</f>
        <v>编制期间：2020年4月</v>
      </c>
      <c r="G3" s="13"/>
      <c r="H3" s="13"/>
      <c r="L3" s="13"/>
      <c r="M3" s="13"/>
    </row>
    <row r="4" s="4" customForma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6">
      <c r="A6" s="18" t="s">
        <v>69</v>
      </c>
      <c r="B6" s="19" t="s">
        <v>70</v>
      </c>
      <c r="C6" s="20" t="s">
        <v>70</v>
      </c>
      <c r="D6" s="21">
        <v>132342.05</v>
      </c>
      <c r="E6" s="21">
        <v>109385.08</v>
      </c>
      <c r="F6" s="21">
        <v>80793.34</v>
      </c>
      <c r="G6" s="21">
        <v>132339.39</v>
      </c>
      <c r="H6" s="21"/>
      <c r="I6" s="21"/>
      <c r="J6" s="21"/>
      <c r="K6" s="21"/>
      <c r="L6" s="21"/>
      <c r="M6" s="21"/>
      <c r="N6" s="21"/>
      <c r="O6" s="21"/>
      <c r="P6" s="47">
        <f>SUM(D6:O6)</f>
        <v>454859.86</v>
      </c>
    </row>
    <row r="7" s="5" customFormat="1" spans="1:16">
      <c r="A7" s="22"/>
      <c r="B7" s="23"/>
      <c r="C7" s="20" t="s">
        <v>71</v>
      </c>
      <c r="D7" s="21">
        <v>-687.39</v>
      </c>
      <c r="E7" s="21">
        <v>6736</v>
      </c>
      <c r="F7" s="21">
        <v>6736</v>
      </c>
      <c r="G7" s="21">
        <v>6736</v>
      </c>
      <c r="H7" s="21"/>
      <c r="I7" s="21"/>
      <c r="J7" s="21"/>
      <c r="K7" s="21"/>
      <c r="L7" s="21"/>
      <c r="M7" s="21"/>
      <c r="N7" s="21"/>
      <c r="O7" s="21"/>
      <c r="P7" s="47">
        <f t="shared" ref="P7:P70" si="0">SUM(D7:O7)</f>
        <v>19520.61</v>
      </c>
    </row>
    <row r="8" s="5" customFormat="1" spans="1:16">
      <c r="A8" s="22"/>
      <c r="B8" s="19" t="s">
        <v>72</v>
      </c>
      <c r="C8" s="20" t="s">
        <v>72</v>
      </c>
      <c r="D8" s="21">
        <v>28364.6</v>
      </c>
      <c r="E8" s="21"/>
      <c r="F8" s="21">
        <v>18639.8</v>
      </c>
      <c r="G8" s="21">
        <v>14627.9</v>
      </c>
      <c r="H8" s="21"/>
      <c r="I8" s="21"/>
      <c r="J8" s="21"/>
      <c r="K8" s="21"/>
      <c r="L8" s="21"/>
      <c r="M8" s="21"/>
      <c r="N8" s="21"/>
      <c r="O8" s="21"/>
      <c r="P8" s="47">
        <f t="shared" si="0"/>
        <v>61632.3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>
        <v>16300</v>
      </c>
      <c r="G12" s="21">
        <v>9200</v>
      </c>
      <c r="H12" s="21"/>
      <c r="I12" s="21"/>
      <c r="J12" s="21"/>
      <c r="K12" s="21"/>
      <c r="L12" s="21"/>
      <c r="M12" s="21"/>
      <c r="N12" s="21"/>
      <c r="O12" s="21"/>
      <c r="P12" s="47">
        <f t="shared" si="0"/>
        <v>25500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>
        <v>400</v>
      </c>
      <c r="G14" s="21"/>
      <c r="H14" s="21"/>
      <c r="I14" s="21"/>
      <c r="J14" s="21"/>
      <c r="K14" s="21"/>
      <c r="L14" s="21"/>
      <c r="M14" s="21"/>
      <c r="N14" s="21"/>
      <c r="O14" s="21"/>
      <c r="P14" s="47">
        <f t="shared" si="0"/>
        <v>400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>
        <v>5422</v>
      </c>
      <c r="E19" s="21">
        <v>5422</v>
      </c>
      <c r="F19" s="21">
        <v>5422</v>
      </c>
      <c r="G19" s="21">
        <v>5422</v>
      </c>
      <c r="H19" s="21"/>
      <c r="I19" s="21"/>
      <c r="J19" s="21"/>
      <c r="K19" s="21"/>
      <c r="L19" s="21"/>
      <c r="M19" s="21"/>
      <c r="N19" s="21"/>
      <c r="O19" s="21"/>
      <c r="P19" s="47">
        <f t="shared" si="0"/>
        <v>21688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>
        <v>20620.8</v>
      </c>
      <c r="E22" s="21">
        <v>20620.8</v>
      </c>
      <c r="F22" s="21">
        <v>-20620.8</v>
      </c>
      <c r="G22" s="21"/>
      <c r="H22" s="21"/>
      <c r="I22" s="21"/>
      <c r="J22" s="21"/>
      <c r="K22" s="21"/>
      <c r="L22" s="21"/>
      <c r="M22" s="21"/>
      <c r="N22" s="21"/>
      <c r="O22" s="21"/>
      <c r="P22" s="47">
        <f t="shared" si="0"/>
        <v>20620.8</v>
      </c>
    </row>
    <row r="23" s="5" customFormat="1" spans="1:16">
      <c r="A23" s="22"/>
      <c r="B23" s="24"/>
      <c r="C23" s="25" t="s">
        <v>89</v>
      </c>
      <c r="D23" s="21">
        <v>644.4</v>
      </c>
      <c r="E23" s="21">
        <v>644.4</v>
      </c>
      <c r="F23" s="21">
        <v>-644.4</v>
      </c>
      <c r="G23" s="21"/>
      <c r="H23" s="21"/>
      <c r="I23" s="21"/>
      <c r="J23" s="21"/>
      <c r="K23" s="21"/>
      <c r="L23" s="21"/>
      <c r="M23" s="21"/>
      <c r="N23" s="21"/>
      <c r="O23" s="21"/>
      <c r="P23" s="47">
        <f t="shared" si="0"/>
        <v>644.4</v>
      </c>
    </row>
    <row r="24" s="5" customFormat="1" spans="1:16">
      <c r="A24" s="22"/>
      <c r="B24" s="24"/>
      <c r="C24" s="25" t="s">
        <v>90</v>
      </c>
      <c r="D24" s="21">
        <v>837.71</v>
      </c>
      <c r="E24" s="21">
        <v>837.71</v>
      </c>
      <c r="F24" s="21">
        <v>-837.71</v>
      </c>
      <c r="G24" s="21"/>
      <c r="H24" s="21"/>
      <c r="I24" s="21"/>
      <c r="J24" s="21"/>
      <c r="K24" s="21"/>
      <c r="L24" s="21"/>
      <c r="M24" s="21"/>
      <c r="N24" s="21"/>
      <c r="O24" s="21"/>
      <c r="P24" s="47">
        <f t="shared" si="0"/>
        <v>837.71</v>
      </c>
    </row>
    <row r="25" s="5" customFormat="1" spans="1:16">
      <c r="A25" s="22"/>
      <c r="B25" s="24"/>
      <c r="C25" s="25" t="s">
        <v>91</v>
      </c>
      <c r="D25" s="21">
        <v>12888</v>
      </c>
      <c r="E25" s="21">
        <v>12888</v>
      </c>
      <c r="F25" s="21"/>
      <c r="G25" s="21">
        <v>6444</v>
      </c>
      <c r="H25" s="21"/>
      <c r="I25" s="21"/>
      <c r="J25" s="21"/>
      <c r="K25" s="21"/>
      <c r="L25" s="21"/>
      <c r="M25" s="21"/>
      <c r="N25" s="21"/>
      <c r="O25" s="21"/>
      <c r="P25" s="47">
        <f t="shared" si="0"/>
        <v>32220</v>
      </c>
    </row>
    <row r="26" s="5" customFormat="1" spans="1:16">
      <c r="A26" s="22"/>
      <c r="B26" s="23"/>
      <c r="C26" s="25" t="s">
        <v>92</v>
      </c>
      <c r="D26" s="21">
        <v>644.4</v>
      </c>
      <c r="E26" s="21">
        <v>644.4</v>
      </c>
      <c r="F26" s="21">
        <v>644.4</v>
      </c>
      <c r="G26" s="21">
        <v>644.4</v>
      </c>
      <c r="H26" s="21"/>
      <c r="I26" s="21"/>
      <c r="J26" s="21"/>
      <c r="K26" s="21"/>
      <c r="L26" s="21"/>
      <c r="M26" s="21"/>
      <c r="N26" s="21"/>
      <c r="O26" s="21"/>
      <c r="P26" s="47">
        <f t="shared" si="0"/>
        <v>2577.6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>
        <v>360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47">
        <f t="shared" si="0"/>
        <v>360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>
        <v>31754.36</v>
      </c>
      <c r="E41" s="21">
        <v>2123.89</v>
      </c>
      <c r="F41" s="21">
        <v>13483.64</v>
      </c>
      <c r="G41" s="21">
        <v>11196.99</v>
      </c>
      <c r="H41" s="21"/>
      <c r="I41" s="21"/>
      <c r="J41" s="21"/>
      <c r="K41" s="21"/>
      <c r="L41" s="21"/>
      <c r="M41" s="21"/>
      <c r="N41" s="21"/>
      <c r="O41" s="21"/>
      <c r="P41" s="47">
        <f t="shared" si="0"/>
        <v>58558.88</v>
      </c>
    </row>
    <row r="42" s="5" customFormat="1" spans="1:16">
      <c r="A42" s="31"/>
      <c r="B42" s="19" t="s">
        <v>114</v>
      </c>
      <c r="C42" s="32" t="s">
        <v>114</v>
      </c>
      <c r="D42" s="21">
        <v>23903.28</v>
      </c>
      <c r="E42" s="21">
        <v>3293.23</v>
      </c>
      <c r="F42" s="21">
        <v>40957.79</v>
      </c>
      <c r="G42" s="21">
        <v>59194.96</v>
      </c>
      <c r="H42" s="21"/>
      <c r="I42" s="21"/>
      <c r="J42" s="21"/>
      <c r="K42" s="21"/>
      <c r="L42" s="21"/>
      <c r="M42" s="21"/>
      <c r="N42" s="21"/>
      <c r="O42" s="21"/>
      <c r="P42" s="47">
        <f t="shared" si="0"/>
        <v>127349.26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7">
      <c r="A46" s="31"/>
      <c r="B46" s="26" t="s">
        <v>119</v>
      </c>
      <c r="C46" s="33" t="s">
        <v>119</v>
      </c>
      <c r="D46" s="21">
        <v>350929.42</v>
      </c>
      <c r="E46" s="21">
        <v>330898.02</v>
      </c>
      <c r="F46" s="21">
        <v>350929.41</v>
      </c>
      <c r="G46" s="21">
        <v>350930.67</v>
      </c>
      <c r="H46" s="21"/>
      <c r="I46" s="21"/>
      <c r="J46" s="21"/>
      <c r="K46" s="21"/>
      <c r="L46" s="21"/>
      <c r="M46" s="21"/>
      <c r="N46" s="21"/>
      <c r="O46" s="21"/>
      <c r="P46" s="47">
        <f t="shared" si="0"/>
        <v>1383687.52</v>
      </c>
      <c r="Q46" s="48">
        <f>P46+'Z-宁德'!P46+'Z-宜春天赐'!P46+'Z-美思'!P46</f>
        <v>4093812.18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34" t="s">
        <v>121</v>
      </c>
      <c r="C48" s="35" t="s">
        <v>121</v>
      </c>
      <c r="D48" s="21">
        <v>2564.1</v>
      </c>
      <c r="E48" s="21">
        <v>2639.16</v>
      </c>
      <c r="F48" s="21">
        <v>23234.43</v>
      </c>
      <c r="G48" s="21">
        <v>2647.8</v>
      </c>
      <c r="H48" s="21"/>
      <c r="I48" s="21"/>
      <c r="J48" s="21"/>
      <c r="K48" s="21"/>
      <c r="L48" s="21"/>
      <c r="M48" s="21"/>
      <c r="N48" s="21"/>
      <c r="O48" s="21"/>
      <c r="P48" s="47">
        <f t="shared" si="0"/>
        <v>31085.49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>
        <v>31041.5</v>
      </c>
      <c r="H53" s="21"/>
      <c r="I53" s="21"/>
      <c r="J53" s="21"/>
      <c r="K53" s="21"/>
      <c r="L53" s="21"/>
      <c r="M53" s="21"/>
      <c r="N53" s="21"/>
      <c r="O53" s="21"/>
      <c r="P53" s="47">
        <f t="shared" si="0"/>
        <v>31041.5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spans="1:16">
      <c r="A63" s="42" t="s">
        <v>138</v>
      </c>
      <c r="B63" s="43" t="s">
        <v>139</v>
      </c>
      <c r="C63" s="33" t="s">
        <v>139</v>
      </c>
      <c r="D63" s="21">
        <v>20113.18</v>
      </c>
      <c r="E63" s="21">
        <v>7024.5</v>
      </c>
      <c r="F63" s="21">
        <v>21023.54</v>
      </c>
      <c r="G63" s="21">
        <v>19537.81</v>
      </c>
      <c r="H63" s="21"/>
      <c r="I63" s="21"/>
      <c r="J63" s="21"/>
      <c r="K63" s="21"/>
      <c r="L63" s="21"/>
      <c r="M63" s="21"/>
      <c r="N63" s="21"/>
      <c r="O63" s="21"/>
      <c r="P63" s="47">
        <f t="shared" si="0"/>
        <v>67699.03</v>
      </c>
    </row>
    <row r="64" s="5" customFormat="1" spans="1:16">
      <c r="A64" s="42"/>
      <c r="B64" s="43" t="s">
        <v>140</v>
      </c>
      <c r="C64" s="33" t="s">
        <v>140</v>
      </c>
      <c r="D64" s="21">
        <v>23710.34</v>
      </c>
      <c r="E64" s="21">
        <v>26331.97</v>
      </c>
      <c r="F64" s="21">
        <v>22219.9</v>
      </c>
      <c r="G64" s="21">
        <v>16971.94</v>
      </c>
      <c r="H64" s="21"/>
      <c r="I64" s="21"/>
      <c r="J64" s="21"/>
      <c r="K64" s="21"/>
      <c r="L64" s="21"/>
      <c r="M64" s="21"/>
      <c r="N64" s="21"/>
      <c r="O64" s="21"/>
      <c r="P64" s="47">
        <f t="shared" si="0"/>
        <v>89234.15</v>
      </c>
    </row>
    <row r="65" s="5" customFormat="1" spans="1:16">
      <c r="A65" s="42"/>
      <c r="B65" s="43" t="s">
        <v>141</v>
      </c>
      <c r="C65" s="33" t="s">
        <v>141</v>
      </c>
      <c r="D65" s="21">
        <v>41875.15</v>
      </c>
      <c r="E65" s="21">
        <v>77159.91</v>
      </c>
      <c r="F65" s="21">
        <v>55189.52</v>
      </c>
      <c r="G65" s="21">
        <v>58803.62</v>
      </c>
      <c r="H65" s="21"/>
      <c r="I65" s="21"/>
      <c r="J65" s="21"/>
      <c r="K65" s="21"/>
      <c r="L65" s="21"/>
      <c r="M65" s="21"/>
      <c r="N65" s="21"/>
      <c r="O65" s="21"/>
      <c r="P65" s="47">
        <f t="shared" si="0"/>
        <v>233028.2</v>
      </c>
    </row>
    <row r="66" s="5" customFormat="1" spans="1:16">
      <c r="A66" s="42"/>
      <c r="B66" s="43" t="s">
        <v>142</v>
      </c>
      <c r="C66" s="33" t="s">
        <v>142</v>
      </c>
      <c r="D66" s="21">
        <v>204215.4</v>
      </c>
      <c r="E66" s="21">
        <v>195048.07</v>
      </c>
      <c r="F66" s="21">
        <v>82092.87</v>
      </c>
      <c r="G66" s="21">
        <v>149899.8</v>
      </c>
      <c r="H66" s="21"/>
      <c r="I66" s="21"/>
      <c r="J66" s="21"/>
      <c r="K66" s="21"/>
      <c r="L66" s="21"/>
      <c r="M66" s="21"/>
      <c r="N66" s="21"/>
      <c r="O66" s="21"/>
      <c r="P66" s="47">
        <f t="shared" si="0"/>
        <v>631256.14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>
        <v>2739.16</v>
      </c>
      <c r="E80" s="21">
        <v>331.39</v>
      </c>
      <c r="F80" s="21">
        <v>7056.1</v>
      </c>
      <c r="G80" s="21">
        <v>6163.51</v>
      </c>
      <c r="H80" s="21"/>
      <c r="I80" s="21"/>
      <c r="J80" s="21"/>
      <c r="K80" s="21"/>
      <c r="L80" s="21"/>
      <c r="M80" s="21"/>
      <c r="N80" s="21"/>
      <c r="O80" s="21"/>
      <c r="P80" s="47">
        <f t="shared" si="1"/>
        <v>16290.16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>
        <v>66037.74</v>
      </c>
      <c r="H81" s="21"/>
      <c r="I81" s="21"/>
      <c r="J81" s="21"/>
      <c r="K81" s="21"/>
      <c r="L81" s="21"/>
      <c r="M81" s="21"/>
      <c r="N81" s="21"/>
      <c r="O81" s="21"/>
      <c r="P81" s="47">
        <f t="shared" si="1"/>
        <v>66037.74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>
        <v>4584.07</v>
      </c>
      <c r="H92" s="21"/>
      <c r="I92" s="21"/>
      <c r="J92" s="21"/>
      <c r="K92" s="21"/>
      <c r="L92" s="21"/>
      <c r="M92" s="21"/>
      <c r="N92" s="21"/>
      <c r="O92" s="21"/>
      <c r="P92" s="47">
        <f t="shared" si="1"/>
        <v>4584.07</v>
      </c>
    </row>
    <row r="93" s="6" customFormat="1" spans="1:16">
      <c r="A93" s="57" t="s">
        <v>12</v>
      </c>
      <c r="B93" s="57"/>
      <c r="C93" s="57"/>
      <c r="D93" s="58">
        <f>SUM(D6:D92)</f>
        <v>903240.96</v>
      </c>
      <c r="E93" s="58">
        <f t="shared" ref="E93:O93" si="2">SUM(E6:E92)</f>
        <v>802028.53</v>
      </c>
      <c r="F93" s="58">
        <f t="shared" si="2"/>
        <v>723019.83</v>
      </c>
      <c r="G93" s="58">
        <f t="shared" si="2"/>
        <v>952424.1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3380713.42</v>
      </c>
    </row>
    <row r="94" s="7" customFormat="1" ht="12.75" spans="1:16">
      <c r="A94" s="59" t="s">
        <v>387</v>
      </c>
      <c r="B94" s="59"/>
      <c r="C94" s="59"/>
      <c r="D94" s="21">
        <v>245467.55</v>
      </c>
      <c r="E94" s="21">
        <v>200763.39</v>
      </c>
      <c r="F94" s="21">
        <v>236391.96</v>
      </c>
      <c r="G94" s="76">
        <v>288426.64</v>
      </c>
      <c r="H94" s="21"/>
      <c r="I94" s="21"/>
      <c r="J94" s="21"/>
      <c r="K94" s="21"/>
      <c r="L94" s="21"/>
      <c r="M94" s="21"/>
      <c r="N94" s="21"/>
      <c r="O94" s="21"/>
      <c r="P94" s="47">
        <f t="shared" si="1"/>
        <v>971049.54</v>
      </c>
    </row>
    <row r="95" s="7" customFormat="1" ht="12.75" spans="1:16">
      <c r="A95" s="59" t="s">
        <v>178</v>
      </c>
      <c r="B95" s="59"/>
      <c r="C95" s="59"/>
      <c r="D95" s="21">
        <v>362590.77</v>
      </c>
      <c r="E95" s="21">
        <v>274528.06</v>
      </c>
      <c r="F95" s="21">
        <v>337932.53</v>
      </c>
      <c r="G95" s="76">
        <v>387232.86</v>
      </c>
      <c r="H95" s="21"/>
      <c r="I95" s="21"/>
      <c r="J95" s="21"/>
      <c r="K95" s="21"/>
      <c r="L95" s="21"/>
      <c r="M95" s="21"/>
      <c r="N95" s="21"/>
      <c r="O95" s="21"/>
      <c r="P95" s="47">
        <f t="shared" si="1"/>
        <v>1362284.22</v>
      </c>
    </row>
    <row r="96" s="7" customFormat="1" ht="12.75" spans="1:16">
      <c r="A96" s="60" t="s">
        <v>179</v>
      </c>
      <c r="B96" s="60"/>
      <c r="C96" s="60"/>
      <c r="D96" s="21"/>
      <c r="E96" s="21"/>
      <c r="F96" s="21"/>
      <c r="G96" s="76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2.75" spans="1:16">
      <c r="A97" s="61" t="s">
        <v>180</v>
      </c>
      <c r="B97" s="62"/>
      <c r="C97" s="63"/>
      <c r="D97" s="21">
        <v>295182.64</v>
      </c>
      <c r="E97" s="21">
        <v>326737.08</v>
      </c>
      <c r="F97" s="21">
        <v>148695.34</v>
      </c>
      <c r="G97" s="76">
        <v>276764.6</v>
      </c>
      <c r="H97" s="21"/>
      <c r="I97" s="21"/>
      <c r="J97" s="21"/>
      <c r="K97" s="21"/>
      <c r="L97" s="21"/>
      <c r="M97" s="21"/>
      <c r="N97" s="21"/>
      <c r="O97" s="21"/>
      <c r="P97" s="47">
        <f t="shared" si="1"/>
        <v>1047379.66</v>
      </c>
    </row>
    <row r="98" s="7" customFormat="1" ht="12.75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7" customFormat="1" spans="1:16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="8" customFormat="1" spans="1:16">
      <c r="A100" s="9"/>
      <c r="B100" s="9"/>
      <c r="C100" s="9"/>
      <c r="D100" s="64" t="b">
        <f>D93=SUM(D94:D97)</f>
        <v>1</v>
      </c>
      <c r="E100" s="64" t="b">
        <f t="shared" ref="E100:O100" si="3">E93=SUM(E94:E97)</f>
        <v>1</v>
      </c>
      <c r="F100" s="64" t="b">
        <f t="shared" si="3"/>
        <v>1</v>
      </c>
      <c r="G100" s="64" t="b">
        <f t="shared" si="3"/>
        <v>1</v>
      </c>
      <c r="H100" s="64" t="b">
        <f t="shared" si="3"/>
        <v>1</v>
      </c>
      <c r="I100" s="64" t="b">
        <f t="shared" si="3"/>
        <v>1</v>
      </c>
      <c r="J100" s="64" t="b">
        <f t="shared" si="3"/>
        <v>1</v>
      </c>
      <c r="K100" s="64" t="b">
        <f t="shared" si="3"/>
        <v>1</v>
      </c>
      <c r="L100" s="64" t="b">
        <f t="shared" si="3"/>
        <v>1</v>
      </c>
      <c r="M100" s="64" t="b">
        <f t="shared" si="3"/>
        <v>1</v>
      </c>
      <c r="N100" s="64" t="b">
        <f t="shared" si="3"/>
        <v>1</v>
      </c>
      <c r="O100" s="64" t="b">
        <f t="shared" si="3"/>
        <v>1</v>
      </c>
      <c r="P100" s="9"/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2">
      <c r="B102" s="9" t="s">
        <v>393</v>
      </c>
    </row>
    <row r="103" s="9" customFormat="1"/>
  </sheetData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E34">
    <cfRule type="cellIs" dxfId="0" priority="12" stopIfTrue="1" operator="equal">
      <formula>"no"</formula>
    </cfRule>
    <cfRule type="cellIs" dxfId="0" priority="13" stopIfTrue="1" operator="equal">
      <formula>"no"</formula>
    </cfRule>
    <cfRule type="cellIs" dxfId="0" priority="14" stopIfTrue="1" operator="equal">
      <formula>"no"</formula>
    </cfRule>
    <cfRule type="cellIs" dxfId="0" priority="15" stopIfTrue="1" operator="equal">
      <formula>"no"</formula>
    </cfRule>
    <cfRule type="cellIs" dxfId="0" priority="16" stopIfTrue="1" operator="equal">
      <formula>"no"</formula>
    </cfRule>
    <cfRule type="cellIs" dxfId="0" priority="17" stopIfTrue="1" operator="equal">
      <formula>"no"</formula>
    </cfRule>
    <cfRule type="cellIs" dxfId="0" priority="18" stopIfTrue="1" operator="equal">
      <formula>"no"</formula>
    </cfRule>
    <cfRule type="cellIs" dxfId="0" priority="20" stopIfTrue="1" operator="equal">
      <formula>"no"</formula>
    </cfRule>
    <cfRule type="cellIs" dxfId="0" priority="21" stopIfTrue="1" operator="equal">
      <formula>"no"</formula>
    </cfRule>
    <cfRule type="cellIs" dxfId="0" priority="22" stopIfTrue="1" operator="equal">
      <formula>"no"</formula>
    </cfRule>
    <cfRule type="cellIs" dxfId="0" priority="23" stopIfTrue="1" operator="equal">
      <formula>"no"</formula>
    </cfRule>
    <cfRule type="cellIs" dxfId="0" priority="24" stopIfTrue="1" operator="equal">
      <formula>"no"</formula>
    </cfRule>
    <cfRule type="cellIs" dxfId="0" priority="25" stopIfTrue="1" operator="equal">
      <formula>"no"</formula>
    </cfRule>
    <cfRule type="cellIs" dxfId="0" priority="27" stopIfTrue="1" operator="equal">
      <formula>"no"</formula>
    </cfRule>
    <cfRule type="cellIs" dxfId="0" priority="28" stopIfTrue="1" operator="equal">
      <formula>"no"</formula>
    </cfRule>
    <cfRule type="cellIs" dxfId="0" priority="29" stopIfTrue="1" operator="equal">
      <formula>"no"</formula>
    </cfRule>
    <cfRule type="cellIs" dxfId="0" priority="30" stopIfTrue="1" operator="equal">
      <formula>"no"</formula>
    </cfRule>
    <cfRule type="cellIs" dxfId="0" priority="31" stopIfTrue="1" operator="equal">
      <formula>"no"</formula>
    </cfRule>
    <cfRule type="cellIs" dxfId="0" priority="33" stopIfTrue="1" operator="equal">
      <formula>"no"</formula>
    </cfRule>
    <cfRule type="cellIs" dxfId="0" priority="34" stopIfTrue="1" operator="equal">
      <formula>"no"</formula>
    </cfRule>
    <cfRule type="cellIs" dxfId="0" priority="35" stopIfTrue="1" operator="equal">
      <formula>"no"</formula>
    </cfRule>
    <cfRule type="cellIs" dxfId="0" priority="36" stopIfTrue="1" operator="equal">
      <formula>"no"</formula>
    </cfRule>
    <cfRule type="cellIs" dxfId="0" priority="38" stopIfTrue="1" operator="equal">
      <formula>"no"</formula>
    </cfRule>
    <cfRule type="cellIs" dxfId="0" priority="39" stopIfTrue="1" operator="equal">
      <formula>"no"</formula>
    </cfRule>
    <cfRule type="cellIs" dxfId="0" priority="40" stopIfTrue="1" operator="equal">
      <formula>"no"</formula>
    </cfRule>
    <cfRule type="cellIs" dxfId="0" priority="42" stopIfTrue="1" operator="equal">
      <formula>"no"</formula>
    </cfRule>
    <cfRule type="cellIs" dxfId="0" priority="43" stopIfTrue="1" operator="equal">
      <formula>"no"</formula>
    </cfRule>
    <cfRule type="cellIs" dxfId="0" priority="45" stopIfTrue="1" operator="equal">
      <formula>"no"</formula>
    </cfRule>
  </conditionalFormatting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N35:N84 M34:IV34 A34:I34 A100:C100 P100:IV100">
    <cfRule type="cellIs" dxfId="0" priority="48" stopIfTrue="1" operator="equal">
      <formula>"no"</formula>
    </cfRule>
  </conditionalFormatting>
  <conditionalFormatting sqref="N35:N84 M34:IV34 G34:I34 A34:E34 A100:C100 P100:IV100">
    <cfRule type="cellIs" dxfId="0" priority="19" stopIfTrue="1" operator="equal">
      <formula>"no"</formula>
    </cfRule>
    <cfRule type="cellIs" dxfId="0" priority="26" stopIfTrue="1" operator="equal">
      <formula>"no"</formula>
    </cfRule>
    <cfRule type="cellIs" dxfId="0" priority="32" stopIfTrue="1" operator="equal">
      <formula>"no"</formula>
    </cfRule>
    <cfRule type="cellIs" dxfId="0" priority="37" stopIfTrue="1" operator="equal">
      <formula>"no"</formula>
    </cfRule>
    <cfRule type="cellIs" dxfId="0" priority="41" stopIfTrue="1" operator="equal">
      <formula>"no"</formula>
    </cfRule>
    <cfRule type="cellIs" dxfId="0" priority="44" stopIfTrue="1" operator="equal">
      <formula>"no"</formula>
    </cfRule>
    <cfRule type="cellIs" dxfId="0" priority="46" stopIfTrue="1" operator="equal">
      <formula>"no"</formula>
    </cfRule>
    <cfRule type="cellIs" dxfId="0" priority="47" stopIfTrue="1" operator="equal">
      <formula>"no"</formula>
    </cfRule>
  </conditionalFormatting>
  <conditionalFormatting sqref="J34:L34 A34:G34 O34:P34">
    <cfRule type="cellIs" dxfId="0" priority="11" stopIfTrue="1" operator="equal">
      <formula>"no"</formula>
    </cfRule>
  </conditionalFormatting>
  <conditionalFormatting sqref="A99:G99 J99:P99">
    <cfRule type="cellIs" dxfId="0" priority="10" stopIfTrue="1" operator="equal">
      <formula>"no"</formula>
    </cfRule>
  </conditionalFormatting>
  <pageMargins left="0.7" right="0.7" top="0.75" bottom="0.75" header="0.3" footer="0.3"/>
  <headerFooter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E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5" style="10" customWidth="1"/>
    <col min="5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11" t="s">
        <v>419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192526.86</v>
      </c>
      <c r="E6" s="21">
        <v>184179.35</v>
      </c>
      <c r="F6" s="21">
        <v>153605.94</v>
      </c>
      <c r="G6" s="21">
        <v>262731.27</v>
      </c>
      <c r="H6" s="21"/>
      <c r="I6" s="46"/>
      <c r="J6" s="21"/>
      <c r="K6" s="21"/>
      <c r="L6" s="21"/>
      <c r="M6" s="21"/>
      <c r="N6" s="21"/>
      <c r="O6" s="21"/>
      <c r="P6" s="47">
        <f>SUM(D6:O6)</f>
        <v>793043.42</v>
      </c>
      <c r="Q6" s="48">
        <f>P6+P7+P8+P19+P22+P23+P24+P25+P26</f>
        <v>905163.67</v>
      </c>
    </row>
    <row r="7" s="5" customFormat="1" ht="17.25" customHeight="1" spans="1:16">
      <c r="A7" s="22"/>
      <c r="B7" s="23"/>
      <c r="C7" s="20" t="s">
        <v>71</v>
      </c>
      <c r="D7" s="21">
        <v>15701.86</v>
      </c>
      <c r="E7" s="21">
        <v>13955</v>
      </c>
      <c r="F7" s="21">
        <v>14576</v>
      </c>
      <c r="G7" s="21">
        <v>15676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59908.86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>
        <v>20500</v>
      </c>
      <c r="G12" s="21">
        <v>9075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29575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/>
      <c r="F14" s="21">
        <v>500</v>
      </c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500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>
        <v>811.92</v>
      </c>
      <c r="G18" s="21">
        <v>416.46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1228.38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5376</v>
      </c>
      <c r="E19" s="21">
        <v>5376</v>
      </c>
      <c r="F19" s="21">
        <v>5208</v>
      </c>
      <c r="G19" s="21">
        <v>5208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21168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7792.16</v>
      </c>
      <c r="E22" s="21">
        <v>7792.16</v>
      </c>
      <c r="F22" s="21">
        <v>-7792.16</v>
      </c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7792.16</v>
      </c>
    </row>
    <row r="23" s="5" customFormat="1" ht="17.25" customHeight="1" spans="1:16">
      <c r="A23" s="22"/>
      <c r="B23" s="24"/>
      <c r="C23" s="25" t="s">
        <v>89</v>
      </c>
      <c r="D23" s="21">
        <v>243.66</v>
      </c>
      <c r="E23" s="21">
        <v>243.66</v>
      </c>
      <c r="F23" s="21">
        <v>-243.66</v>
      </c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243.66</v>
      </c>
    </row>
    <row r="24" s="5" customFormat="1" ht="17.25" customHeight="1" spans="1:16">
      <c r="A24" s="22"/>
      <c r="B24" s="24"/>
      <c r="C24" s="25" t="s">
        <v>90</v>
      </c>
      <c r="D24" s="21">
        <v>766.32</v>
      </c>
      <c r="E24" s="21">
        <v>766.32</v>
      </c>
      <c r="F24" s="21">
        <v>-766.32</v>
      </c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766.32</v>
      </c>
    </row>
    <row r="25" s="5" customFormat="1" ht="17.25" customHeight="1" spans="1:16">
      <c r="A25" s="22"/>
      <c r="B25" s="24"/>
      <c r="C25" s="25" t="s">
        <v>91</v>
      </c>
      <c r="D25" s="21">
        <v>8644.48</v>
      </c>
      <c r="E25" s="21">
        <v>8369.84</v>
      </c>
      <c r="F25" s="21">
        <v>-274.64</v>
      </c>
      <c r="G25" s="21">
        <v>3910.28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20649.96</v>
      </c>
    </row>
    <row r="26" s="5" customFormat="1" ht="17.25" customHeight="1" spans="1:16">
      <c r="A26" s="22"/>
      <c r="B26" s="23"/>
      <c r="C26" s="25" t="s">
        <v>92</v>
      </c>
      <c r="D26" s="21">
        <v>540.44</v>
      </c>
      <c r="E26" s="21">
        <v>523.27</v>
      </c>
      <c r="F26" s="21">
        <v>185.3</v>
      </c>
      <c r="G26" s="21">
        <v>342.28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1591.29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>
        <v>5100</v>
      </c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5100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>
        <v>1976.04</v>
      </c>
      <c r="F34" s="21"/>
      <c r="G34" s="21">
        <v>672.28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2648.32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2807.43</v>
      </c>
      <c r="E41" s="21"/>
      <c r="F41" s="21">
        <v>10466.91</v>
      </c>
      <c r="G41" s="21">
        <v>13395.13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26669.47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48463.71</v>
      </c>
      <c r="E42" s="21">
        <v>29911.9</v>
      </c>
      <c r="F42" s="21">
        <v>106967.96</v>
      </c>
      <c r="G42" s="21">
        <v>111612.81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296956.38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384662.66</v>
      </c>
      <c r="E46" s="21">
        <v>384663.45</v>
      </c>
      <c r="F46" s="21">
        <v>384662.64</v>
      </c>
      <c r="G46" s="21">
        <v>384663.49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1538652.24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>
        <v>60094.9</v>
      </c>
      <c r="E48" s="21">
        <v>58325</v>
      </c>
      <c r="F48" s="21">
        <v>-2254.49</v>
      </c>
      <c r="G48" s="21">
        <v>60094.91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176260.32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>
        <v>2836.55</v>
      </c>
      <c r="E55" s="21">
        <v>2836.56</v>
      </c>
      <c r="F55" s="21">
        <v>2836.55</v>
      </c>
      <c r="G55" s="21">
        <v>2836.56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11346.22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39335.41</v>
      </c>
      <c r="E63" s="21">
        <v>21554.66</v>
      </c>
      <c r="F63" s="21">
        <v>46765.76</v>
      </c>
      <c r="G63" s="21">
        <v>47457.5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155113.33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1134.25</v>
      </c>
      <c r="E64" s="21">
        <v>878.23</v>
      </c>
      <c r="F64" s="21">
        <v>1105.08</v>
      </c>
      <c r="G64" s="21">
        <v>1312.49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4430.05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20612.64</v>
      </c>
      <c r="E65" s="21">
        <v>17700.38</v>
      </c>
      <c r="F65" s="21">
        <v>35526.42</v>
      </c>
      <c r="G65" s="21">
        <v>39984.21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113823.65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>
        <v>108050.66</v>
      </c>
      <c r="E67" s="21">
        <v>100937.61</v>
      </c>
      <c r="F67" s="21">
        <v>114825</v>
      </c>
      <c r="G67" s="21">
        <v>122276.77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446090.04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>
        <v>37</v>
      </c>
      <c r="G70" s="21">
        <v>77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114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/>
      <c r="E80" s="21"/>
      <c r="F80" s="21">
        <v>40463.28</v>
      </c>
      <c r="G80" s="21">
        <v>14464.61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54927.89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91196.53</v>
      </c>
      <c r="E92" s="21">
        <v>49778.25</v>
      </c>
      <c r="F92" s="21">
        <v>60930.34</v>
      </c>
      <c r="G92" s="21">
        <v>131776.81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333681.93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990786.52</v>
      </c>
      <c r="E93" s="58">
        <f t="shared" ref="E93:O93" si="2">SUM(E6:E92)</f>
        <v>889767.68</v>
      </c>
      <c r="F93" s="58">
        <f t="shared" si="2"/>
        <v>993742.83</v>
      </c>
      <c r="G93" s="58">
        <f t="shared" si="2"/>
        <v>1227983.86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4102280.89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>
        <f>D93</f>
        <v>990786.52</v>
      </c>
      <c r="E95" s="21">
        <f t="shared" ref="E95:O95" si="3">E93</f>
        <v>889767.68</v>
      </c>
      <c r="F95" s="21">
        <f t="shared" si="3"/>
        <v>993742.83</v>
      </c>
      <c r="G95" s="21">
        <f t="shared" si="3"/>
        <v>1227983.86</v>
      </c>
      <c r="H95" s="21">
        <f t="shared" si="3"/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4102280.89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15318734.86</v>
      </c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A34:G34 O34:XFD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2"/>
  <sheetViews>
    <sheetView workbookViewId="0">
      <pane xSplit="3" ySplit="5" topLeftCell="D6" activePane="bottomRight" state="frozen"/>
      <selection/>
      <selection pane="topRight"/>
      <selection pane="bottomLeft"/>
      <selection pane="bottomRight" activeCell="H26" sqref="H2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4" width="13.875" style="10" customWidth="1"/>
    <col min="5" max="6" width="12.25" style="10" customWidth="1"/>
    <col min="7" max="12" width="13.5" style="10" customWidth="1"/>
    <col min="13" max="15" width="14.75" style="10" customWidth="1"/>
    <col min="16" max="16" width="16.125" style="10" customWidth="1"/>
    <col min="17" max="16384" width="9" style="10"/>
  </cols>
  <sheetData>
    <row r="1" s="1" customFormat="1" ht="23.25" customHeight="1" spans="1:13">
      <c r="A1" s="11" t="s">
        <v>420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="2" customFormat="1" spans="1:11">
      <c r="A2" s="72" t="s">
        <v>375</v>
      </c>
      <c r="K2" s="73"/>
    </row>
    <row r="3" s="3" customFormat="1" ht="13.5" spans="1:13">
      <c r="A3" s="12" t="str">
        <f>'G-高新'!A3</f>
        <v>编制期间：2020年4月</v>
      </c>
      <c r="G3" s="13"/>
      <c r="H3" s="13"/>
      <c r="L3" s="13"/>
      <c r="M3" s="13"/>
    </row>
    <row r="4" s="4" customFormat="1" ht="16.5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ht="16.5" customHeigh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spans="1:16">
      <c r="A48" s="31"/>
      <c r="B48" s="34" t="s">
        <v>121</v>
      </c>
      <c r="C48" s="35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customHeigh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0</v>
      </c>
      <c r="E93" s="58">
        <f t="shared" ref="E93:O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74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0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46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/>
      <c r="E95" s="21"/>
      <c r="F95" s="21"/>
      <c r="G95" s="21"/>
      <c r="H95" s="21"/>
      <c r="I95" s="46"/>
      <c r="J95" s="21"/>
      <c r="K95" s="21"/>
      <c r="L95" s="21"/>
      <c r="M95" s="21"/>
      <c r="N95" s="21"/>
      <c r="O95" s="21"/>
      <c r="P95" s="47">
        <f t="shared" si="1"/>
        <v>0</v>
      </c>
    </row>
    <row r="96" s="70" customFormat="1" ht="15" customHeight="1" spans="1:17">
      <c r="A96" s="60" t="s">
        <v>179</v>
      </c>
      <c r="B96" s="60"/>
      <c r="C96" s="60"/>
      <c r="D96" s="21">
        <f>D93</f>
        <v>0</v>
      </c>
      <c r="E96" s="21">
        <f t="shared" ref="E96:O96" si="3">E93</f>
        <v>0</v>
      </c>
      <c r="F96" s="21">
        <f t="shared" si="3"/>
        <v>0</v>
      </c>
      <c r="G96" s="21">
        <f t="shared" si="3"/>
        <v>0</v>
      </c>
      <c r="H96" s="21">
        <f t="shared" si="3"/>
        <v>0</v>
      </c>
      <c r="I96" s="21">
        <f t="shared" si="3"/>
        <v>0</v>
      </c>
      <c r="J96" s="21">
        <f t="shared" si="3"/>
        <v>0</v>
      </c>
      <c r="K96" s="21">
        <f t="shared" si="3"/>
        <v>0</v>
      </c>
      <c r="L96" s="21">
        <f t="shared" si="3"/>
        <v>0</v>
      </c>
      <c r="M96" s="21">
        <f t="shared" si="3"/>
        <v>0</v>
      </c>
      <c r="N96" s="21">
        <f t="shared" si="3"/>
        <v>0</v>
      </c>
      <c r="O96" s="21">
        <f t="shared" si="3"/>
        <v>0</v>
      </c>
      <c r="P96" s="47">
        <f t="shared" si="1"/>
        <v>0</v>
      </c>
      <c r="Q96" s="7"/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71" customFormat="1" spans="1:16">
      <c r="A99" s="8"/>
      <c r="B99" s="8"/>
      <c r="C99" s="8"/>
      <c r="D99" s="8"/>
      <c r="E99" s="8"/>
      <c r="F99" s="8"/>
      <c r="G99" s="8">
        <v>944180.15</v>
      </c>
      <c r="H99" s="9"/>
      <c r="I99" s="9"/>
      <c r="J99" s="8"/>
      <c r="K99" s="8"/>
      <c r="L99" s="8"/>
      <c r="M99" s="8"/>
      <c r="N99" s="8"/>
      <c r="O99" s="8"/>
      <c r="P99" s="8"/>
    </row>
    <row r="100" s="71" customFormat="1" spans="1:16">
      <c r="A100" s="9"/>
      <c r="B100" s="9"/>
      <c r="C100" s="9"/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  <c r="P100" s="9"/>
    </row>
    <row r="101" s="71" customFormat="1" spans="1:16">
      <c r="A101" s="9"/>
      <c r="B101" s="9" t="s">
        <v>392</v>
      </c>
      <c r="C101" s="9"/>
      <c r="D101" s="9"/>
      <c r="E101" s="65"/>
      <c r="F101" s="65"/>
      <c r="G101" s="65"/>
      <c r="H101" s="9"/>
      <c r="I101" s="9"/>
      <c r="J101" s="65"/>
      <c r="K101" s="67"/>
      <c r="L101" s="67"/>
      <c r="M101" s="9"/>
      <c r="N101" s="9"/>
      <c r="O101" s="9"/>
      <c r="P101" s="9">
        <v>4570905.82</v>
      </c>
    </row>
    <row r="102" spans="1:16">
      <c r="A102" s="9"/>
      <c r="B102" s="9" t="s">
        <v>393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75">
        <f>P101-P93</f>
        <v>4570905.82</v>
      </c>
    </row>
  </sheetData>
  <autoFilter ref="A5:O102">
    <extLst/>
  </autoFilter>
  <mergeCells count="37">
    <mergeCell ref="A1:M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K34">
    <cfRule type="cellIs" dxfId="0" priority="12" stopIfTrue="1" operator="equal">
      <formula>"no"</formula>
    </cfRule>
  </conditionalFormatting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A34:E34 L34:XFD34 M35:M85 G34:H34 J34">
    <cfRule type="cellIs" dxfId="0" priority="13" stopIfTrue="1" operator="equal">
      <formula>"no"</formula>
    </cfRule>
  </conditionalFormatting>
  <conditionalFormatting sqref="J34:L34 A34:G34 O34:P34">
    <cfRule type="cellIs" dxfId="0" priority="11" stopIfTrue="1" operator="equal">
      <formula>"no"</formula>
    </cfRule>
  </conditionalFormatting>
  <conditionalFormatting sqref="A99:G99 J99:P99">
    <cfRule type="cellIs" dxfId="0" priority="10" stopIfTrue="1" operator="equal">
      <formula>"no"</formula>
    </cfRule>
  </conditionalFormatting>
  <pageMargins left="0.7" right="0.7" top="0.75" bottom="0.75" header="0.3" footer="0.3"/>
  <pageSetup paperSize="9" orientation="portrait"/>
  <headerFooter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106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18" width="9" style="10"/>
    <col min="19" max="19" width="18.25" style="10" customWidth="1"/>
    <col min="20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69" t="s">
        <v>421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9">
      <c r="A6" s="18" t="s">
        <v>69</v>
      </c>
      <c r="B6" s="19" t="s">
        <v>70</v>
      </c>
      <c r="C6" s="20" t="s">
        <v>70</v>
      </c>
      <c r="D6" s="21">
        <v>208698.32</v>
      </c>
      <c r="E6" s="21">
        <v>121577.47</v>
      </c>
      <c r="F6" s="21">
        <v>198059.34</v>
      </c>
      <c r="G6" s="21">
        <v>195085.13</v>
      </c>
      <c r="H6" s="21"/>
      <c r="I6" s="46"/>
      <c r="J6" s="21"/>
      <c r="K6" s="21"/>
      <c r="L6" s="21"/>
      <c r="M6" s="21"/>
      <c r="N6" s="21"/>
      <c r="O6" s="21"/>
      <c r="P6" s="47">
        <f>SUM(D6:O6)</f>
        <v>723420.26</v>
      </c>
      <c r="Q6" s="48">
        <f>P6+P7+P8+P19+P22+P23+P24+P25+P26</f>
        <v>672164.74</v>
      </c>
      <c r="S6" s="48"/>
    </row>
    <row r="7" s="5" customFormat="1" ht="17.25" customHeight="1" spans="1:16">
      <c r="A7" s="22"/>
      <c r="B7" s="23"/>
      <c r="C7" s="20" t="s">
        <v>71</v>
      </c>
      <c r="D7" s="21">
        <v>-147351.92</v>
      </c>
      <c r="E7" s="21">
        <v>8870.83</v>
      </c>
      <c r="F7" s="21">
        <v>14860.33</v>
      </c>
      <c r="G7" s="21">
        <v>16720.62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-106900.14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>
        <v>0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>
        <v>0</v>
      </c>
      <c r="G11" s="21">
        <v>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>
        <v>0</v>
      </c>
      <c r="G12" s="21">
        <v>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>
        <v>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/>
      <c r="F14" s="21">
        <v>0</v>
      </c>
      <c r="G14" s="21">
        <v>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>
        <v>0</v>
      </c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>
        <v>0</v>
      </c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>
        <v>0</v>
      </c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>
        <v>0</v>
      </c>
      <c r="G18" s="21">
        <v>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>
        <v>1896</v>
      </c>
      <c r="E19" s="21">
        <v>1464</v>
      </c>
      <c r="F19" s="21">
        <v>864</v>
      </c>
      <c r="G19" s="21">
        <v>1464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5688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>
        <v>0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28798.88</v>
      </c>
      <c r="E22" s="21">
        <v>16190.24</v>
      </c>
      <c r="F22" s="21">
        <v>-16190.28</v>
      </c>
      <c r="G22" s="21">
        <v>0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28798.84</v>
      </c>
    </row>
    <row r="23" s="5" customFormat="1" ht="17.25" customHeight="1" spans="1:16">
      <c r="A23" s="22"/>
      <c r="B23" s="24"/>
      <c r="C23" s="25" t="s">
        <v>89</v>
      </c>
      <c r="D23" s="21">
        <v>995.37</v>
      </c>
      <c r="E23" s="21">
        <v>569.5</v>
      </c>
      <c r="F23" s="21">
        <v>-569.5</v>
      </c>
      <c r="G23" s="21">
        <v>0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995.37</v>
      </c>
    </row>
    <row r="24" s="5" customFormat="1" ht="17.25" customHeight="1" spans="1:16">
      <c r="A24" s="22"/>
      <c r="B24" s="24"/>
      <c r="C24" s="25" t="s">
        <v>90</v>
      </c>
      <c r="D24" s="21">
        <v>1550.52</v>
      </c>
      <c r="E24" s="21">
        <v>897.24</v>
      </c>
      <c r="F24" s="21">
        <v>-897.24</v>
      </c>
      <c r="G24" s="21">
        <v>0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1550.52</v>
      </c>
    </row>
    <row r="25" s="5" customFormat="1" ht="17.25" customHeight="1" spans="1:16">
      <c r="A25" s="22"/>
      <c r="B25" s="24"/>
      <c r="C25" s="25" t="s">
        <v>91</v>
      </c>
      <c r="D25" s="21">
        <v>7434.78</v>
      </c>
      <c r="E25" s="21">
        <v>4605.44</v>
      </c>
      <c r="F25" s="21">
        <v>2191.02</v>
      </c>
      <c r="G25" s="21">
        <v>2191.02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16422.26</v>
      </c>
    </row>
    <row r="26" s="5" customFormat="1" ht="17.25" customHeight="1" spans="1:16">
      <c r="A26" s="22"/>
      <c r="B26" s="23"/>
      <c r="C26" s="25" t="s">
        <v>92</v>
      </c>
      <c r="D26" s="21">
        <v>991.3</v>
      </c>
      <c r="E26" s="21">
        <v>614.06</v>
      </c>
      <c r="F26" s="21">
        <v>292.13</v>
      </c>
      <c r="G26" s="21">
        <v>292.14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2189.63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>
        <v>0</v>
      </c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>
        <v>0</v>
      </c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>
        <v>0</v>
      </c>
      <c r="G29" s="21">
        <v>0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>
        <v>0</v>
      </c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>
        <v>0</v>
      </c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>
        <v>0</v>
      </c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>
        <v>60</v>
      </c>
      <c r="E33" s="21"/>
      <c r="F33" s="21">
        <v>0</v>
      </c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60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>
        <v>801</v>
      </c>
      <c r="E34" s="21">
        <v>325.5</v>
      </c>
      <c r="F34" s="21">
        <v>0</v>
      </c>
      <c r="G34" s="21">
        <v>397.5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1524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>
        <v>0</v>
      </c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>
        <v>0</v>
      </c>
      <c r="G36" s="21">
        <v>8165.95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8165.95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>
        <v>0</v>
      </c>
      <c r="G37" s="21">
        <v>0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>
        <v>0</v>
      </c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>
        <v>0</v>
      </c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>
        <v>0</v>
      </c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>
        <v>114467.71</v>
      </c>
      <c r="E41" s="21">
        <v>-4291.13</v>
      </c>
      <c r="F41" s="21">
        <v>27209.22</v>
      </c>
      <c r="G41" s="21">
        <v>40365.89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177751.69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4571.97</v>
      </c>
      <c r="E42" s="21">
        <v>2437.94</v>
      </c>
      <c r="F42" s="21">
        <v>7837.83</v>
      </c>
      <c r="G42" s="21">
        <v>21451.9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36299.64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>
        <v>0</v>
      </c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>
        <v>0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>
        <v>0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522648.69</v>
      </c>
      <c r="E46" s="21">
        <v>219626.94</v>
      </c>
      <c r="F46" s="21">
        <v>209654.04</v>
      </c>
      <c r="G46" s="21">
        <v>219542.75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1171472.42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>
        <v>0</v>
      </c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>
        <v>0</v>
      </c>
      <c r="G48" s="21">
        <v>0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>
        <v>0</v>
      </c>
      <c r="G49" s="21">
        <v>0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>
        <v>0</v>
      </c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>
        <v>0</v>
      </c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>
        <v>0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>
        <v>0</v>
      </c>
      <c r="G53" s="21">
        <v>11881.19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11881.19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>
        <v>0</v>
      </c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>
        <v>0</v>
      </c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>
        <v>0</v>
      </c>
      <c r="G56" s="21">
        <v>0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>
        <v>0</v>
      </c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>
        <v>0</v>
      </c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>
        <v>0</v>
      </c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>
        <v>0</v>
      </c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>
        <v>0</v>
      </c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>
        <v>0</v>
      </c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>
        <v>35598.52</v>
      </c>
      <c r="E63" s="21">
        <v>42025.89</v>
      </c>
      <c r="F63" s="21">
        <v>101984.47</v>
      </c>
      <c r="G63" s="21">
        <v>78046.91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257655.79</v>
      </c>
    </row>
    <row r="64" s="5" customFormat="1" ht="17.25" customHeight="1" spans="1:16">
      <c r="A64" s="42"/>
      <c r="B64" s="43" t="s">
        <v>140</v>
      </c>
      <c r="C64" s="33" t="s">
        <v>140</v>
      </c>
      <c r="D64" s="21">
        <v>15299.55</v>
      </c>
      <c r="E64" s="21">
        <v>1012.04</v>
      </c>
      <c r="F64" s="21">
        <v>359.39</v>
      </c>
      <c r="G64" s="21">
        <v>1068.23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17739.21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216905.58</v>
      </c>
      <c r="E65" s="21">
        <v>58428.15</v>
      </c>
      <c r="F65" s="21">
        <v>50046.09</v>
      </c>
      <c r="G65" s="21">
        <v>152845.17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478224.99</v>
      </c>
    </row>
    <row r="66" s="5" customFormat="1" ht="17.25" customHeight="1" spans="1:16">
      <c r="A66" s="42"/>
      <c r="B66" s="43" t="s">
        <v>142</v>
      </c>
      <c r="C66" s="33" t="s">
        <v>142</v>
      </c>
      <c r="D66" s="21">
        <v>17549.26</v>
      </c>
      <c r="E66" s="21">
        <v>-17195.88</v>
      </c>
      <c r="F66" s="21">
        <v>53704.82</v>
      </c>
      <c r="G66" s="21">
        <v>38240.2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92298.4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/>
      <c r="F67" s="21">
        <v>0</v>
      </c>
      <c r="G67" s="21">
        <v>0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>
        <v>0</v>
      </c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>
        <v>0</v>
      </c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>
        <v>154.72</v>
      </c>
      <c r="F70" s="21">
        <v>362.03</v>
      </c>
      <c r="G70" s="21">
        <v>469.81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986.56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>
        <v>0</v>
      </c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>
        <v>0</v>
      </c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>
        <v>0</v>
      </c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>
        <v>0</v>
      </c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>
        <v>0</v>
      </c>
      <c r="G75" s="21">
        <v>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>
        <v>0</v>
      </c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>
        <v>0</v>
      </c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>
        <v>0</v>
      </c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>
        <v>0</v>
      </c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1370.9</v>
      </c>
      <c r="E80" s="21">
        <v>2201.14</v>
      </c>
      <c r="F80" s="21">
        <v>1644.79</v>
      </c>
      <c r="G80" s="21">
        <v>2464.75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7681.58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>
        <v>0</v>
      </c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>
        <v>0</v>
      </c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>
        <v>0</v>
      </c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>
        <v>0</v>
      </c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>
        <v>0</v>
      </c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>
        <v>0</v>
      </c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>
        <v>0</v>
      </c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>
        <v>0</v>
      </c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>
        <v>0</v>
      </c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>
        <v>0</v>
      </c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>
        <v>0</v>
      </c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14251.1</v>
      </c>
      <c r="E92" s="21">
        <v>1794.84</v>
      </c>
      <c r="F92" s="21">
        <v>23985.89</v>
      </c>
      <c r="G92" s="21">
        <v>71906.49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111938.32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1046537.53</v>
      </c>
      <c r="E93" s="58">
        <f t="shared" ref="E93:O93" si="2">SUM(E6:E92)</f>
        <v>461308.93</v>
      </c>
      <c r="F93" s="58">
        <f t="shared" si="2"/>
        <v>675398.37</v>
      </c>
      <c r="G93" s="58">
        <f t="shared" si="2"/>
        <v>862599.65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3045844.48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>
        <f>D93</f>
        <v>1046537.53</v>
      </c>
      <c r="E95" s="21">
        <f>E93</f>
        <v>461308.93</v>
      </c>
      <c r="F95" s="21">
        <f>F93</f>
        <v>675398.37</v>
      </c>
      <c r="G95" s="21">
        <f>G93</f>
        <v>862599.65</v>
      </c>
      <c r="H95" s="21">
        <f t="shared" ref="H95:O95" si="3">H93</f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3045844.48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16375171.27</v>
      </c>
    </row>
    <row r="106" spans="6:12">
      <c r="F106" s="66"/>
      <c r="G106" s="66"/>
      <c r="L106" s="66"/>
    </row>
  </sheetData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A34:C34 O34:XFD34 K34:L34 E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D90" activePane="bottomRight" state="frozen"/>
      <selection/>
      <selection pane="topRight"/>
      <selection pane="bottomLeft"/>
      <selection pane="bottomRight" activeCell="I109" sqref="I109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11" t="s">
        <v>422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0</v>
      </c>
      <c r="E93" s="58">
        <f t="shared" ref="E93:O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0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47">
        <f t="shared" si="1"/>
        <v>0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3">E93=SUM(E94:E97)</f>
        <v>1</v>
      </c>
      <c r="F100" s="64" t="b">
        <f t="shared" si="3"/>
        <v>1</v>
      </c>
      <c r="G100" s="64" t="b">
        <f t="shared" si="3"/>
        <v>1</v>
      </c>
      <c r="H100" s="64" t="b">
        <f t="shared" si="3"/>
        <v>1</v>
      </c>
      <c r="I100" s="64" t="b">
        <f t="shared" si="3"/>
        <v>1</v>
      </c>
      <c r="J100" s="64" t="b">
        <f t="shared" si="3"/>
        <v>1</v>
      </c>
      <c r="K100" s="64" t="b">
        <f t="shared" si="3"/>
        <v>1</v>
      </c>
      <c r="L100" s="64" t="b">
        <f t="shared" si="3"/>
        <v>1</v>
      </c>
      <c r="M100" s="64" t="b">
        <f t="shared" si="3"/>
        <v>1</v>
      </c>
      <c r="N100" s="64" t="b">
        <f t="shared" si="3"/>
        <v>1</v>
      </c>
      <c r="O100" s="64" t="b">
        <f t="shared" si="3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19421015.75</v>
      </c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A34:G34 O34:XFD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D78" activePane="bottomRight" state="frozen"/>
      <selection/>
      <selection pane="topRight"/>
      <selection pane="bottomLeft"/>
      <selection pane="bottomRight" activeCell="I96" sqref="I96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11" t="s">
        <v>423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L6" s="21"/>
      <c r="M6" s="21"/>
      <c r="N6" s="21"/>
      <c r="O6" s="21"/>
      <c r="P6" s="47">
        <f>SUM(D6:O6)</f>
        <v>0</v>
      </c>
      <c r="Q6" s="48">
        <f>P6+P7+P8+P19+P22+P23+P24+P25+P26</f>
        <v>0</v>
      </c>
    </row>
    <row r="7" s="5" customFormat="1" ht="17.25" customHeigh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L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L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L42" s="21"/>
      <c r="M42" s="21"/>
      <c r="N42" s="21"/>
      <c r="O42" s="21"/>
      <c r="P42" s="47">
        <f t="shared" si="0"/>
        <v>0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L46" s="21"/>
      <c r="M46" s="21"/>
      <c r="N46" s="21"/>
      <c r="O46" s="21"/>
      <c r="P46" s="47">
        <f t="shared" si="0"/>
        <v>0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/>
      <c r="G48" s="21"/>
      <c r="H48" s="21"/>
      <c r="I48" s="46"/>
      <c r="J48" s="21"/>
      <c r="K48" s="21"/>
      <c r="L48" s="21"/>
      <c r="M48" s="21"/>
      <c r="N48" s="21"/>
      <c r="O48" s="21"/>
      <c r="P48" s="47">
        <f t="shared" si="0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L65" s="21"/>
      <c r="M65" s="21"/>
      <c r="N65" s="21"/>
      <c r="O65" s="21"/>
      <c r="P65" s="47">
        <f t="shared" si="0"/>
        <v>0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L80" s="21"/>
      <c r="M80" s="21"/>
      <c r="N80" s="21"/>
      <c r="O80" s="21"/>
      <c r="P80" s="47">
        <f t="shared" si="1"/>
        <v>0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L92" s="21"/>
      <c r="M92" s="21"/>
      <c r="N92" s="21"/>
      <c r="O92" s="21"/>
      <c r="P92" s="47">
        <f t="shared" si="1"/>
        <v>0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0</v>
      </c>
      <c r="E93" s="58">
        <f t="shared" ref="E93:O93" si="2">SUM(E6:E92)</f>
        <v>0</v>
      </c>
      <c r="F93" s="58">
        <f t="shared" si="2"/>
        <v>0</v>
      </c>
      <c r="G93" s="58">
        <f t="shared" si="2"/>
        <v>0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0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47">
        <f t="shared" si="1"/>
        <v>0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3">E93=SUM(E94:E97)</f>
        <v>1</v>
      </c>
      <c r="F100" s="64" t="b">
        <f t="shared" si="3"/>
        <v>1</v>
      </c>
      <c r="G100" s="64" t="b">
        <f t="shared" si="3"/>
        <v>1</v>
      </c>
      <c r="H100" s="64" t="b">
        <f t="shared" si="3"/>
        <v>1</v>
      </c>
      <c r="I100" s="64" t="b">
        <f t="shared" si="3"/>
        <v>1</v>
      </c>
      <c r="J100" s="64" t="b">
        <f t="shared" si="3"/>
        <v>1</v>
      </c>
      <c r="K100" s="64" t="b">
        <f t="shared" si="3"/>
        <v>1</v>
      </c>
      <c r="L100" s="64" t="b">
        <f t="shared" si="3"/>
        <v>1</v>
      </c>
      <c r="M100" s="64" t="b">
        <f t="shared" si="3"/>
        <v>1</v>
      </c>
      <c r="N100" s="64" t="b">
        <f t="shared" si="3"/>
        <v>1</v>
      </c>
      <c r="O100" s="64" t="b">
        <f t="shared" si="3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19421015.75</v>
      </c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A34:G34 O34:XFD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workbookViewId="0">
      <pane xSplit="3" ySplit="5" topLeftCell="D84" activePane="bottomRight" state="frozen"/>
      <selection/>
      <selection pane="topRight"/>
      <selection pane="bottomLeft"/>
      <selection pane="bottomRight" activeCell="J101" sqref="J101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11" t="s">
        <v>424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="2" customFormat="1" ht="18" customHeight="1" spans="1:11">
      <c r="A2" s="2" t="s">
        <v>64</v>
      </c>
      <c r="I2" s="44"/>
      <c r="J2" s="44"/>
      <c r="K2" s="44">
        <v>10000</v>
      </c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/>
      <c r="E6" s="21"/>
      <c r="F6" s="21"/>
      <c r="G6" s="21"/>
      <c r="H6" s="21"/>
      <c r="I6" s="46"/>
      <c r="J6" s="21"/>
      <c r="K6" s="21"/>
      <c r="M6" s="21"/>
      <c r="N6" s="21"/>
      <c r="O6" s="21"/>
      <c r="P6" s="47">
        <f t="shared" ref="P6:P37" si="0">SUM(D6:O6)</f>
        <v>0</v>
      </c>
      <c r="Q6" s="48">
        <f>P6+P7+P8+P19+P22+P23+P24+P25+P26</f>
        <v>0</v>
      </c>
    </row>
    <row r="7" s="5" customFormat="1" ht="17.25" customHeight="1" spans="1:16">
      <c r="A7" s="22"/>
      <c r="B7" s="23"/>
      <c r="C7" s="20" t="s">
        <v>71</v>
      </c>
      <c r="D7" s="21"/>
      <c r="E7" s="21"/>
      <c r="F7" s="21"/>
      <c r="G7" s="21"/>
      <c r="H7" s="21"/>
      <c r="I7" s="46"/>
      <c r="J7" s="21"/>
      <c r="K7" s="21"/>
      <c r="M7" s="21"/>
      <c r="N7" s="21"/>
      <c r="O7" s="21"/>
      <c r="P7" s="47">
        <f t="shared" si="0"/>
        <v>0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/>
      <c r="F8" s="21"/>
      <c r="G8" s="21"/>
      <c r="H8" s="21"/>
      <c r="I8" s="46"/>
      <c r="J8" s="21"/>
      <c r="K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/>
      <c r="F9" s="21"/>
      <c r="G9" s="21"/>
      <c r="H9" s="21"/>
      <c r="I9" s="46"/>
      <c r="J9" s="21"/>
      <c r="K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/>
      <c r="F10" s="21"/>
      <c r="G10" s="21"/>
      <c r="H10" s="21"/>
      <c r="I10" s="46"/>
      <c r="J10" s="21"/>
      <c r="K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/>
      <c r="F11" s="21"/>
      <c r="G11" s="21"/>
      <c r="H11" s="21"/>
      <c r="I11" s="46"/>
      <c r="J11" s="21"/>
      <c r="K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/>
      <c r="F12" s="21"/>
      <c r="G12" s="21"/>
      <c r="H12" s="21"/>
      <c r="I12" s="46"/>
      <c r="J12" s="21"/>
      <c r="K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/>
      <c r="F13" s="21"/>
      <c r="G13" s="21"/>
      <c r="H13" s="21"/>
      <c r="I13" s="46"/>
      <c r="J13" s="21"/>
      <c r="K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/>
      <c r="F14" s="21"/>
      <c r="G14" s="21"/>
      <c r="H14" s="21"/>
      <c r="I14" s="46"/>
      <c r="J14" s="21"/>
      <c r="K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/>
      <c r="F15" s="21"/>
      <c r="G15" s="21"/>
      <c r="H15" s="21"/>
      <c r="I15" s="46"/>
      <c r="J15" s="21"/>
      <c r="K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/>
      <c r="F16" s="21"/>
      <c r="G16" s="21"/>
      <c r="H16" s="21"/>
      <c r="I16" s="46"/>
      <c r="J16" s="21"/>
      <c r="K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/>
      <c r="F17" s="21"/>
      <c r="G17" s="21"/>
      <c r="H17" s="21"/>
      <c r="I17" s="46"/>
      <c r="J17" s="21"/>
      <c r="K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/>
      <c r="F18" s="21"/>
      <c r="G18" s="21"/>
      <c r="H18" s="21"/>
      <c r="I18" s="46"/>
      <c r="J18" s="21"/>
      <c r="K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/>
      <c r="E19" s="21"/>
      <c r="F19" s="21"/>
      <c r="G19" s="21"/>
      <c r="H19" s="21"/>
      <c r="I19" s="46"/>
      <c r="J19" s="21"/>
      <c r="K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/>
      <c r="F20" s="21"/>
      <c r="G20" s="21"/>
      <c r="H20" s="21"/>
      <c r="I20" s="46"/>
      <c r="J20" s="21"/>
      <c r="K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/>
      <c r="F21" s="21"/>
      <c r="G21" s="21"/>
      <c r="H21" s="21"/>
      <c r="I21" s="46"/>
      <c r="J21" s="21"/>
      <c r="K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/>
      <c r="E22" s="21"/>
      <c r="F22" s="21"/>
      <c r="G22" s="21"/>
      <c r="H22" s="21"/>
      <c r="I22" s="46"/>
      <c r="J22" s="21"/>
      <c r="K22" s="21"/>
      <c r="M22" s="21"/>
      <c r="N22" s="21"/>
      <c r="O22" s="21"/>
      <c r="P22" s="47">
        <f t="shared" si="0"/>
        <v>0</v>
      </c>
    </row>
    <row r="23" s="5" customFormat="1" ht="17.25" customHeight="1" spans="1:16">
      <c r="A23" s="22"/>
      <c r="B23" s="24"/>
      <c r="C23" s="25" t="s">
        <v>89</v>
      </c>
      <c r="D23" s="21"/>
      <c r="E23" s="21"/>
      <c r="F23" s="21"/>
      <c r="G23" s="21"/>
      <c r="H23" s="21"/>
      <c r="I23" s="46"/>
      <c r="J23" s="21"/>
      <c r="K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22"/>
      <c r="B24" s="24"/>
      <c r="C24" s="25" t="s">
        <v>90</v>
      </c>
      <c r="D24" s="21"/>
      <c r="E24" s="21"/>
      <c r="F24" s="21"/>
      <c r="G24" s="21"/>
      <c r="H24" s="21"/>
      <c r="I24" s="46"/>
      <c r="J24" s="21"/>
      <c r="K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22"/>
      <c r="B25" s="24"/>
      <c r="C25" s="25" t="s">
        <v>91</v>
      </c>
      <c r="D25" s="21"/>
      <c r="E25" s="21"/>
      <c r="F25" s="21"/>
      <c r="G25" s="21"/>
      <c r="H25" s="21"/>
      <c r="I25" s="46"/>
      <c r="J25" s="21"/>
      <c r="K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22"/>
      <c r="B26" s="23"/>
      <c r="C26" s="25" t="s">
        <v>92</v>
      </c>
      <c r="D26" s="21"/>
      <c r="E26" s="21"/>
      <c r="F26" s="21"/>
      <c r="G26" s="21"/>
      <c r="H26" s="21"/>
      <c r="I26" s="46"/>
      <c r="J26" s="21"/>
      <c r="K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/>
      <c r="F27" s="21"/>
      <c r="G27" s="21"/>
      <c r="H27" s="21"/>
      <c r="I27" s="46"/>
      <c r="J27" s="21"/>
      <c r="K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/>
      <c r="F28" s="21"/>
      <c r="G28" s="21"/>
      <c r="H28" s="21"/>
      <c r="I28" s="46"/>
      <c r="J28" s="21"/>
      <c r="K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/>
      <c r="E29" s="21"/>
      <c r="F29" s="21"/>
      <c r="G29" s="21"/>
      <c r="H29" s="21"/>
      <c r="I29" s="46"/>
      <c r="J29" s="21"/>
      <c r="K29" s="21"/>
      <c r="M29" s="21"/>
      <c r="N29" s="21"/>
      <c r="O29" s="21"/>
      <c r="P29" s="47">
        <f t="shared" si="0"/>
        <v>0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/>
      <c r="F30" s="21"/>
      <c r="G30" s="21"/>
      <c r="H30" s="21"/>
      <c r="I30" s="46"/>
      <c r="J30" s="21"/>
      <c r="K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/>
      <c r="F31" s="21"/>
      <c r="G31" s="21"/>
      <c r="H31" s="21"/>
      <c r="I31" s="46"/>
      <c r="J31" s="21"/>
      <c r="K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/>
      <c r="F32" s="21"/>
      <c r="G32" s="21"/>
      <c r="H32" s="21"/>
      <c r="I32" s="46"/>
      <c r="J32" s="21"/>
      <c r="K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/>
      <c r="F33" s="21"/>
      <c r="G33" s="21"/>
      <c r="H33" s="21"/>
      <c r="I33" s="46"/>
      <c r="J33" s="21"/>
      <c r="K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/>
      <c r="F34" s="21"/>
      <c r="G34" s="21"/>
      <c r="H34" s="21"/>
      <c r="I34" s="46"/>
      <c r="J34" s="21"/>
      <c r="K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/>
      <c r="F35" s="21"/>
      <c r="G35" s="21"/>
      <c r="H35" s="21"/>
      <c r="I35" s="46"/>
      <c r="J35" s="21"/>
      <c r="K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/>
      <c r="F36" s="21"/>
      <c r="G36" s="21"/>
      <c r="H36" s="21"/>
      <c r="I36" s="46"/>
      <c r="J36" s="21"/>
      <c r="K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/>
      <c r="F37" s="21"/>
      <c r="G37" s="21"/>
      <c r="H37" s="21"/>
      <c r="I37" s="46"/>
      <c r="J37" s="21"/>
      <c r="K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/>
      <c r="F38" s="21"/>
      <c r="G38" s="21"/>
      <c r="H38" s="21"/>
      <c r="I38" s="46"/>
      <c r="J38" s="21"/>
      <c r="K38" s="21"/>
      <c r="M38" s="21"/>
      <c r="N38" s="21"/>
      <c r="O38" s="21"/>
      <c r="P38" s="47">
        <f t="shared" ref="P38:P69" si="1">SUM(D38:O38)</f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/>
      <c r="F39" s="21"/>
      <c r="G39" s="21"/>
      <c r="H39" s="21"/>
      <c r="I39" s="46"/>
      <c r="J39" s="21"/>
      <c r="K39" s="21"/>
      <c r="M39" s="21"/>
      <c r="N39" s="21"/>
      <c r="O39" s="21"/>
      <c r="P39" s="47">
        <f t="shared" si="1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/>
      <c r="F40" s="21"/>
      <c r="G40" s="21"/>
      <c r="H40" s="21"/>
      <c r="I40" s="46"/>
      <c r="J40" s="21"/>
      <c r="K40" s="21"/>
      <c r="M40" s="21"/>
      <c r="N40" s="21"/>
      <c r="O40" s="21"/>
      <c r="P40" s="47">
        <f t="shared" si="1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/>
      <c r="E41" s="21"/>
      <c r="F41" s="21"/>
      <c r="G41" s="21"/>
      <c r="H41" s="21"/>
      <c r="I41" s="46"/>
      <c r="J41" s="21"/>
      <c r="K41" s="21"/>
      <c r="M41" s="21"/>
      <c r="N41" s="21"/>
      <c r="O41" s="21"/>
      <c r="P41" s="47">
        <f t="shared" si="1"/>
        <v>0</v>
      </c>
    </row>
    <row r="42" s="5" customFormat="1" ht="17.25" customHeight="1" spans="1:16">
      <c r="A42" s="31"/>
      <c r="B42" s="19" t="s">
        <v>114</v>
      </c>
      <c r="C42" s="32" t="s">
        <v>114</v>
      </c>
      <c r="D42" s="21"/>
      <c r="E42" s="21"/>
      <c r="F42" s="21"/>
      <c r="G42" s="21"/>
      <c r="H42" s="21"/>
      <c r="I42" s="46"/>
      <c r="J42" s="21"/>
      <c r="K42" s="21"/>
      <c r="M42" s="21"/>
      <c r="N42" s="21"/>
      <c r="O42" s="21"/>
      <c r="P42" s="47">
        <f t="shared" si="1"/>
        <v>0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/>
      <c r="F43" s="21"/>
      <c r="G43" s="21"/>
      <c r="H43" s="21"/>
      <c r="I43" s="46"/>
      <c r="J43" s="21"/>
      <c r="K43" s="21"/>
      <c r="M43" s="21"/>
      <c r="N43" s="21"/>
      <c r="O43" s="21"/>
      <c r="P43" s="47">
        <f t="shared" si="1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/>
      <c r="F44" s="21"/>
      <c r="G44" s="21"/>
      <c r="H44" s="21"/>
      <c r="I44" s="46"/>
      <c r="J44" s="21"/>
      <c r="K44" s="21"/>
      <c r="M44" s="21"/>
      <c r="N44" s="21"/>
      <c r="O44" s="21"/>
      <c r="P44" s="47">
        <f t="shared" si="1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/>
      <c r="F45" s="21"/>
      <c r="G45" s="21"/>
      <c r="H45" s="21"/>
      <c r="I45" s="46"/>
      <c r="J45" s="21"/>
      <c r="K45" s="21"/>
      <c r="M45" s="21"/>
      <c r="N45" s="21"/>
      <c r="O45" s="21"/>
      <c r="P45" s="47">
        <f t="shared" si="1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/>
      <c r="E46" s="21"/>
      <c r="F46" s="21"/>
      <c r="G46" s="21"/>
      <c r="H46" s="21"/>
      <c r="I46" s="46"/>
      <c r="J46" s="21"/>
      <c r="K46" s="21"/>
      <c r="M46" s="21"/>
      <c r="N46" s="21"/>
      <c r="O46" s="21"/>
      <c r="P46" s="47">
        <f t="shared" si="1"/>
        <v>0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/>
      <c r="F47" s="21"/>
      <c r="G47" s="21"/>
      <c r="H47" s="21"/>
      <c r="I47" s="46"/>
      <c r="J47" s="21"/>
      <c r="K47" s="21"/>
      <c r="M47" s="21"/>
      <c r="N47" s="21"/>
      <c r="O47" s="21"/>
      <c r="P47" s="47">
        <f t="shared" si="1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/>
      <c r="F48" s="21"/>
      <c r="G48" s="21"/>
      <c r="H48" s="21"/>
      <c r="I48" s="46"/>
      <c r="J48" s="21"/>
      <c r="K48" s="21"/>
      <c r="M48" s="21"/>
      <c r="N48" s="21"/>
      <c r="O48" s="21"/>
      <c r="P48" s="47">
        <f t="shared" si="1"/>
        <v>0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/>
      <c r="F49" s="21"/>
      <c r="G49" s="21"/>
      <c r="H49" s="21"/>
      <c r="I49" s="46"/>
      <c r="J49" s="21"/>
      <c r="K49" s="21"/>
      <c r="M49" s="21"/>
      <c r="N49" s="21"/>
      <c r="O49" s="21"/>
      <c r="P49" s="47">
        <f t="shared" si="1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/>
      <c r="F50" s="21"/>
      <c r="G50" s="21"/>
      <c r="H50" s="21"/>
      <c r="I50" s="46"/>
      <c r="J50" s="21"/>
      <c r="K50" s="21"/>
      <c r="M50" s="21"/>
      <c r="N50" s="21"/>
      <c r="O50" s="21"/>
      <c r="P50" s="47">
        <f t="shared" si="1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/>
      <c r="F51" s="21"/>
      <c r="G51" s="21"/>
      <c r="H51" s="21"/>
      <c r="I51" s="46"/>
      <c r="J51" s="21"/>
      <c r="K51" s="21"/>
      <c r="M51" s="21"/>
      <c r="N51" s="21"/>
      <c r="O51" s="21"/>
      <c r="P51" s="47">
        <f t="shared" si="1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/>
      <c r="F52" s="21"/>
      <c r="G52" s="21"/>
      <c r="H52" s="21"/>
      <c r="I52" s="46"/>
      <c r="J52" s="21"/>
      <c r="K52" s="21"/>
      <c r="M52" s="21"/>
      <c r="N52" s="21"/>
      <c r="O52" s="21"/>
      <c r="P52" s="47">
        <f t="shared" si="1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/>
      <c r="F53" s="21"/>
      <c r="G53" s="21"/>
      <c r="H53" s="21"/>
      <c r="I53" s="46"/>
      <c r="J53" s="21"/>
      <c r="K53" s="21"/>
      <c r="M53" s="21"/>
      <c r="N53" s="21"/>
      <c r="O53" s="21"/>
      <c r="P53" s="47">
        <f t="shared" si="1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/>
      <c r="F54" s="21"/>
      <c r="G54" s="21"/>
      <c r="H54" s="21"/>
      <c r="I54" s="46"/>
      <c r="J54" s="21"/>
      <c r="K54" s="21"/>
      <c r="M54" s="21"/>
      <c r="N54" s="21"/>
      <c r="O54" s="21"/>
      <c r="P54" s="47">
        <f t="shared" si="1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/>
      <c r="F55" s="21"/>
      <c r="G55" s="21"/>
      <c r="H55" s="21"/>
      <c r="I55" s="46"/>
      <c r="J55" s="21"/>
      <c r="K55" s="21"/>
      <c r="M55" s="21"/>
      <c r="N55" s="21"/>
      <c r="O55" s="21"/>
      <c r="P55" s="47">
        <f t="shared" si="1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/>
      <c r="F56" s="21"/>
      <c r="G56" s="21"/>
      <c r="H56" s="21"/>
      <c r="I56" s="46"/>
      <c r="J56" s="21"/>
      <c r="K56" s="21"/>
      <c r="M56" s="21"/>
      <c r="N56" s="21"/>
      <c r="O56" s="21"/>
      <c r="P56" s="47">
        <f t="shared" si="1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/>
      <c r="F57" s="21"/>
      <c r="G57" s="21"/>
      <c r="H57" s="21"/>
      <c r="I57" s="46"/>
      <c r="J57" s="21"/>
      <c r="K57" s="21"/>
      <c r="M57" s="21"/>
      <c r="N57" s="21"/>
      <c r="O57" s="21"/>
      <c r="P57" s="47">
        <f t="shared" si="1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/>
      <c r="F58" s="21"/>
      <c r="G58" s="21"/>
      <c r="H58" s="21"/>
      <c r="I58" s="46"/>
      <c r="J58" s="21"/>
      <c r="K58" s="21"/>
      <c r="M58" s="21"/>
      <c r="N58" s="21"/>
      <c r="O58" s="21"/>
      <c r="P58" s="47">
        <f t="shared" si="1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/>
      <c r="F59" s="21"/>
      <c r="G59" s="21"/>
      <c r="H59" s="21"/>
      <c r="I59" s="46"/>
      <c r="J59" s="21"/>
      <c r="K59" s="21"/>
      <c r="M59" s="21"/>
      <c r="N59" s="21"/>
      <c r="O59" s="21"/>
      <c r="P59" s="47">
        <f t="shared" si="1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/>
      <c r="F60" s="21"/>
      <c r="G60" s="21"/>
      <c r="H60" s="21"/>
      <c r="I60" s="46"/>
      <c r="J60" s="21"/>
      <c r="K60" s="21"/>
      <c r="M60" s="21"/>
      <c r="N60" s="21"/>
      <c r="O60" s="21"/>
      <c r="P60" s="47">
        <f t="shared" si="1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/>
      <c r="F61" s="21"/>
      <c r="G61" s="21"/>
      <c r="H61" s="21"/>
      <c r="I61" s="46"/>
      <c r="J61" s="21"/>
      <c r="K61" s="21"/>
      <c r="M61" s="21"/>
      <c r="N61" s="21"/>
      <c r="O61" s="21"/>
      <c r="P61" s="47">
        <f t="shared" si="1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/>
      <c r="F62" s="21"/>
      <c r="G62" s="21"/>
      <c r="H62" s="21"/>
      <c r="I62" s="46"/>
      <c r="J62" s="21"/>
      <c r="K62" s="21"/>
      <c r="M62" s="21"/>
      <c r="N62" s="21"/>
      <c r="O62" s="21"/>
      <c r="P62" s="47">
        <f t="shared" si="1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/>
      <c r="E63" s="21"/>
      <c r="F63" s="21"/>
      <c r="G63" s="21"/>
      <c r="H63" s="21"/>
      <c r="I63" s="46"/>
      <c r="J63" s="21"/>
      <c r="K63" s="21"/>
      <c r="M63" s="21"/>
      <c r="N63" s="21"/>
      <c r="O63" s="21"/>
      <c r="P63" s="47">
        <f t="shared" si="1"/>
        <v>0</v>
      </c>
    </row>
    <row r="64" s="5" customFormat="1" ht="17.25" customHeight="1" spans="1:16">
      <c r="A64" s="42"/>
      <c r="B64" s="43" t="s">
        <v>140</v>
      </c>
      <c r="C64" s="33" t="s">
        <v>140</v>
      </c>
      <c r="D64" s="21"/>
      <c r="E64" s="21"/>
      <c r="F64" s="21"/>
      <c r="G64" s="21"/>
      <c r="H64" s="21"/>
      <c r="I64" s="46"/>
      <c r="J64" s="21"/>
      <c r="K64" s="21"/>
      <c r="M64" s="21"/>
      <c r="N64" s="21"/>
      <c r="O64" s="21"/>
      <c r="P64" s="47">
        <f t="shared" si="1"/>
        <v>0</v>
      </c>
    </row>
    <row r="65" s="5" customFormat="1" ht="17.25" customHeight="1" spans="1:16">
      <c r="A65" s="42"/>
      <c r="B65" s="43" t="s">
        <v>141</v>
      </c>
      <c r="C65" s="33" t="s">
        <v>141</v>
      </c>
      <c r="D65" s="21"/>
      <c r="E65" s="21"/>
      <c r="F65" s="21"/>
      <c r="G65" s="21"/>
      <c r="H65" s="21"/>
      <c r="I65" s="46"/>
      <c r="J65" s="21"/>
      <c r="K65" s="21"/>
      <c r="M65" s="21"/>
      <c r="N65" s="21"/>
      <c r="O65" s="21"/>
      <c r="P65" s="47">
        <f t="shared" si="1"/>
        <v>0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/>
      <c r="F66" s="21"/>
      <c r="G66" s="21"/>
      <c r="H66" s="21"/>
      <c r="I66" s="46"/>
      <c r="J66" s="21"/>
      <c r="K66" s="21"/>
      <c r="M66" s="21"/>
      <c r="N66" s="21"/>
      <c r="O66" s="21"/>
      <c r="P66" s="47">
        <f t="shared" si="1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/>
      <c r="F67" s="21"/>
      <c r="G67" s="21"/>
      <c r="H67" s="21"/>
      <c r="I67" s="46"/>
      <c r="J67" s="21"/>
      <c r="K67" s="21"/>
      <c r="M67" s="21"/>
      <c r="N67" s="21"/>
      <c r="O67" s="21"/>
      <c r="P67" s="47">
        <f t="shared" si="1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/>
      <c r="F68" s="21"/>
      <c r="G68" s="21"/>
      <c r="H68" s="21"/>
      <c r="I68" s="46"/>
      <c r="J68" s="21"/>
      <c r="K68" s="21"/>
      <c r="M68" s="21"/>
      <c r="N68" s="21"/>
      <c r="O68" s="21"/>
      <c r="P68" s="47">
        <f t="shared" si="1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/>
      <c r="F69" s="21"/>
      <c r="G69" s="21"/>
      <c r="H69" s="21"/>
      <c r="I69" s="46"/>
      <c r="J69" s="21"/>
      <c r="K69" s="21"/>
      <c r="M69" s="21"/>
      <c r="N69" s="21"/>
      <c r="O69" s="21"/>
      <c r="P69" s="47">
        <f t="shared" si="1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/>
      <c r="F70" s="21"/>
      <c r="G70" s="21"/>
      <c r="H70" s="21"/>
      <c r="I70" s="46"/>
      <c r="J70" s="21"/>
      <c r="K70" s="21"/>
      <c r="M70" s="21"/>
      <c r="N70" s="21"/>
      <c r="O70" s="21"/>
      <c r="P70" s="47">
        <f t="shared" ref="P70:P98" si="2">SUM(D70:O70)</f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/>
      <c r="F71" s="21"/>
      <c r="G71" s="21"/>
      <c r="H71" s="21"/>
      <c r="I71" s="46"/>
      <c r="J71" s="21"/>
      <c r="K71" s="21"/>
      <c r="M71" s="21"/>
      <c r="N71" s="21"/>
      <c r="O71" s="21"/>
      <c r="P71" s="47">
        <f t="shared" si="2"/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/>
      <c r="F72" s="21"/>
      <c r="G72" s="21"/>
      <c r="H72" s="21"/>
      <c r="I72" s="46"/>
      <c r="J72" s="21"/>
      <c r="K72" s="21"/>
      <c r="M72" s="21"/>
      <c r="N72" s="21"/>
      <c r="O72" s="21"/>
      <c r="P72" s="47">
        <f t="shared" si="2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/>
      <c r="F73" s="21"/>
      <c r="G73" s="21"/>
      <c r="H73" s="21"/>
      <c r="I73" s="46"/>
      <c r="J73" s="21"/>
      <c r="K73" s="21"/>
      <c r="M73" s="21"/>
      <c r="N73" s="21"/>
      <c r="O73" s="21"/>
      <c r="P73" s="47">
        <f t="shared" si="2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/>
      <c r="F74" s="21"/>
      <c r="G74" s="21"/>
      <c r="H74" s="21"/>
      <c r="I74" s="46"/>
      <c r="J74" s="21"/>
      <c r="K74" s="21"/>
      <c r="M74" s="21"/>
      <c r="N74" s="21"/>
      <c r="O74" s="21"/>
      <c r="P74" s="47">
        <f t="shared" si="2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/>
      <c r="F75" s="21"/>
      <c r="G75" s="21"/>
      <c r="H75" s="21"/>
      <c r="I75" s="46"/>
      <c r="J75" s="21"/>
      <c r="K75" s="21"/>
      <c r="M75" s="21"/>
      <c r="N75" s="21"/>
      <c r="O75" s="21"/>
      <c r="P75" s="47">
        <f t="shared" si="2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/>
      <c r="F76" s="21"/>
      <c r="G76" s="21"/>
      <c r="H76" s="21"/>
      <c r="I76" s="46"/>
      <c r="J76" s="21"/>
      <c r="K76" s="21"/>
      <c r="M76" s="21"/>
      <c r="N76" s="21"/>
      <c r="O76" s="21"/>
      <c r="P76" s="47">
        <f t="shared" si="2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/>
      <c r="F77" s="21"/>
      <c r="G77" s="21"/>
      <c r="H77" s="21"/>
      <c r="I77" s="46"/>
      <c r="J77" s="21"/>
      <c r="K77" s="21"/>
      <c r="M77" s="21"/>
      <c r="N77" s="21"/>
      <c r="O77" s="21"/>
      <c r="P77" s="47">
        <f t="shared" si="2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/>
      <c r="F78" s="21"/>
      <c r="G78" s="21"/>
      <c r="H78" s="21"/>
      <c r="I78" s="46"/>
      <c r="J78" s="21"/>
      <c r="K78" s="21"/>
      <c r="M78" s="21"/>
      <c r="N78" s="21"/>
      <c r="O78" s="21"/>
      <c r="P78" s="47">
        <f t="shared" si="2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/>
      <c r="F79" s="21"/>
      <c r="G79" s="21"/>
      <c r="H79" s="21"/>
      <c r="I79" s="46"/>
      <c r="J79" s="21"/>
      <c r="K79" s="21"/>
      <c r="M79" s="21"/>
      <c r="N79" s="21"/>
      <c r="O79" s="21"/>
      <c r="P79" s="47">
        <f t="shared" si="2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/>
      <c r="E80" s="21"/>
      <c r="F80" s="21"/>
      <c r="G80" s="21"/>
      <c r="H80" s="21"/>
      <c r="I80" s="46"/>
      <c r="J80" s="21"/>
      <c r="K80" s="21"/>
      <c r="M80" s="21"/>
      <c r="N80" s="21"/>
      <c r="O80" s="21"/>
      <c r="P80" s="47">
        <f t="shared" si="2"/>
        <v>0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/>
      <c r="F81" s="21"/>
      <c r="G81" s="21"/>
      <c r="H81" s="21"/>
      <c r="I81" s="46"/>
      <c r="J81" s="21"/>
      <c r="K81" s="21"/>
      <c r="M81" s="21"/>
      <c r="N81" s="21"/>
      <c r="O81" s="21"/>
      <c r="P81" s="47">
        <f t="shared" si="2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/>
      <c r="F82" s="21"/>
      <c r="G82" s="21"/>
      <c r="H82" s="21"/>
      <c r="I82" s="46"/>
      <c r="J82" s="21"/>
      <c r="K82" s="21"/>
      <c r="M82" s="21"/>
      <c r="N82" s="21"/>
      <c r="O82" s="21"/>
      <c r="P82" s="47">
        <f t="shared" si="2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/>
      <c r="F83" s="21"/>
      <c r="G83" s="21"/>
      <c r="H83" s="21"/>
      <c r="I83" s="46"/>
      <c r="J83" s="21"/>
      <c r="K83" s="21"/>
      <c r="M83" s="21"/>
      <c r="N83" s="21"/>
      <c r="O83" s="21"/>
      <c r="P83" s="47">
        <f t="shared" si="2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/>
      <c r="F84" s="21"/>
      <c r="G84" s="21"/>
      <c r="H84" s="21"/>
      <c r="I84" s="46"/>
      <c r="J84" s="21"/>
      <c r="K84" s="21"/>
      <c r="M84" s="21"/>
      <c r="N84" s="21"/>
      <c r="O84" s="21"/>
      <c r="P84" s="47">
        <f t="shared" si="2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/>
      <c r="F85" s="21"/>
      <c r="G85" s="21"/>
      <c r="H85" s="21"/>
      <c r="I85" s="46"/>
      <c r="J85" s="21"/>
      <c r="K85" s="21"/>
      <c r="M85" s="21"/>
      <c r="N85" s="21"/>
      <c r="O85" s="21"/>
      <c r="P85" s="47">
        <f t="shared" si="2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/>
      <c r="F86" s="21"/>
      <c r="G86" s="21"/>
      <c r="H86" s="21"/>
      <c r="I86" s="46"/>
      <c r="J86" s="21"/>
      <c r="K86" s="21"/>
      <c r="M86" s="21"/>
      <c r="N86" s="21"/>
      <c r="O86" s="21"/>
      <c r="P86" s="47">
        <f t="shared" si="2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/>
      <c r="F87" s="21"/>
      <c r="G87" s="21"/>
      <c r="H87" s="21"/>
      <c r="I87" s="46"/>
      <c r="J87" s="21"/>
      <c r="K87" s="21"/>
      <c r="M87" s="21"/>
      <c r="N87" s="21"/>
      <c r="O87" s="21"/>
      <c r="P87" s="47">
        <f t="shared" si="2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/>
      <c r="F88" s="21"/>
      <c r="G88" s="21"/>
      <c r="H88" s="21"/>
      <c r="I88" s="46"/>
      <c r="J88" s="21"/>
      <c r="K88" s="21"/>
      <c r="M88" s="21"/>
      <c r="N88" s="21"/>
      <c r="O88" s="21"/>
      <c r="P88" s="47">
        <f t="shared" si="2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/>
      <c r="F89" s="21"/>
      <c r="G89" s="21"/>
      <c r="H89" s="21"/>
      <c r="I89" s="46"/>
      <c r="J89" s="21"/>
      <c r="K89" s="21"/>
      <c r="M89" s="21"/>
      <c r="N89" s="21"/>
      <c r="O89" s="21"/>
      <c r="P89" s="47">
        <f t="shared" si="2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/>
      <c r="F90" s="21"/>
      <c r="G90" s="21"/>
      <c r="H90" s="21"/>
      <c r="I90" s="46"/>
      <c r="J90" s="21"/>
      <c r="K90" s="21"/>
      <c r="M90" s="21"/>
      <c r="N90" s="21"/>
      <c r="O90" s="21"/>
      <c r="P90" s="47">
        <f t="shared" si="2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/>
      <c r="F91" s="21"/>
      <c r="G91" s="21"/>
      <c r="H91" s="21"/>
      <c r="I91" s="46"/>
      <c r="J91" s="21"/>
      <c r="K91" s="21"/>
      <c r="M91" s="21"/>
      <c r="N91" s="21"/>
      <c r="O91" s="21"/>
      <c r="P91" s="47">
        <f t="shared" si="2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/>
      <c r="E92" s="21"/>
      <c r="F92" s="21"/>
      <c r="G92" s="21"/>
      <c r="H92" s="21"/>
      <c r="I92" s="46"/>
      <c r="J92" s="21"/>
      <c r="K92" s="21"/>
      <c r="M92" s="21"/>
      <c r="N92" s="21"/>
      <c r="O92" s="21"/>
      <c r="P92" s="47">
        <f t="shared" si="2"/>
        <v>0</v>
      </c>
    </row>
    <row r="93" s="6" customFormat="1" ht="15" customHeight="1" spans="1:16">
      <c r="A93" s="57" t="s">
        <v>12</v>
      </c>
      <c r="B93" s="57"/>
      <c r="C93" s="57"/>
      <c r="D93" s="58">
        <f t="shared" ref="D93:O93" si="3">SUM(D6:D92)</f>
        <v>0</v>
      </c>
      <c r="E93" s="58">
        <f t="shared" si="3"/>
        <v>0</v>
      </c>
      <c r="F93" s="58">
        <f t="shared" si="3"/>
        <v>0</v>
      </c>
      <c r="G93" s="58">
        <f t="shared" si="3"/>
        <v>0</v>
      </c>
      <c r="H93" s="58">
        <f t="shared" si="3"/>
        <v>0</v>
      </c>
      <c r="I93" s="58">
        <f t="shared" si="3"/>
        <v>0</v>
      </c>
      <c r="J93" s="58">
        <f t="shared" si="3"/>
        <v>0</v>
      </c>
      <c r="K93" s="58">
        <f t="shared" si="3"/>
        <v>0</v>
      </c>
      <c r="L93" s="58">
        <f t="shared" si="3"/>
        <v>0</v>
      </c>
      <c r="M93" s="58">
        <f t="shared" si="3"/>
        <v>0</v>
      </c>
      <c r="N93" s="58">
        <f t="shared" si="3"/>
        <v>0</v>
      </c>
      <c r="O93" s="58">
        <f t="shared" si="3"/>
        <v>0</v>
      </c>
      <c r="P93" s="47">
        <f t="shared" si="2"/>
        <v>0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2"/>
        <v>0</v>
      </c>
    </row>
    <row r="95" s="7" customFormat="1" ht="15" customHeight="1" spans="1:16">
      <c r="A95" s="59" t="s">
        <v>178</v>
      </c>
      <c r="B95" s="59"/>
      <c r="C95" s="59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47">
        <f t="shared" si="2"/>
        <v>0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2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2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2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19421015.75</v>
      </c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O34:XFD34 A34:G34 J34:K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Q106"/>
  <sheetViews>
    <sheetView tabSelected="1" workbookViewId="0">
      <pane xSplit="3" ySplit="5" topLeftCell="E87" activePane="bottomRight" state="frozen"/>
      <selection/>
      <selection pane="topRight"/>
      <selection pane="bottomLeft"/>
      <selection pane="bottomRight" activeCell="G93" sqref="G93"/>
    </sheetView>
  </sheetViews>
  <sheetFormatPr defaultColWidth="9" defaultRowHeight="14.25"/>
  <cols>
    <col min="1" max="1" width="16.125" style="10" customWidth="1"/>
    <col min="2" max="2" width="13.75" style="10" customWidth="1"/>
    <col min="3" max="3" width="12.25" style="10" customWidth="1"/>
    <col min="4" max="6" width="13.5" style="10" customWidth="1"/>
    <col min="7" max="15" width="14.25" style="10" customWidth="1"/>
    <col min="16" max="16" width="16" style="10" customWidth="1"/>
    <col min="17" max="17" width="17" style="10" customWidth="1"/>
    <col min="18" max="256" width="9" style="10"/>
    <col min="257" max="257" width="16.125" style="10" customWidth="1"/>
    <col min="258" max="258" width="13.75" style="10" customWidth="1"/>
    <col min="259" max="262" width="12.25" style="10" customWidth="1"/>
    <col min="263" max="263" width="11" style="10" customWidth="1"/>
    <col min="264" max="264" width="12.5" style="10" customWidth="1"/>
    <col min="265" max="265" width="12" style="10" customWidth="1"/>
    <col min="266" max="267" width="11.375" style="10" customWidth="1"/>
    <col min="268" max="269" width="14" style="10" customWidth="1"/>
    <col min="270" max="270" width="28.125" style="10" customWidth="1"/>
    <col min="271" max="271" width="25.75" style="10" customWidth="1"/>
    <col min="272" max="272" width="9" style="10"/>
    <col min="273" max="273" width="17" style="10" customWidth="1"/>
    <col min="274" max="512" width="9" style="10"/>
    <col min="513" max="513" width="16.125" style="10" customWidth="1"/>
    <col min="514" max="514" width="13.75" style="10" customWidth="1"/>
    <col min="515" max="518" width="12.25" style="10" customWidth="1"/>
    <col min="519" max="519" width="11" style="10" customWidth="1"/>
    <col min="520" max="520" width="12.5" style="10" customWidth="1"/>
    <col min="521" max="521" width="12" style="10" customWidth="1"/>
    <col min="522" max="523" width="11.375" style="10" customWidth="1"/>
    <col min="524" max="525" width="14" style="10" customWidth="1"/>
    <col min="526" max="526" width="28.125" style="10" customWidth="1"/>
    <col min="527" max="527" width="25.75" style="10" customWidth="1"/>
    <col min="528" max="528" width="9" style="10"/>
    <col min="529" max="529" width="17" style="10" customWidth="1"/>
    <col min="530" max="768" width="9" style="10"/>
    <col min="769" max="769" width="16.125" style="10" customWidth="1"/>
    <col min="770" max="770" width="13.75" style="10" customWidth="1"/>
    <col min="771" max="774" width="12.25" style="10" customWidth="1"/>
    <col min="775" max="775" width="11" style="10" customWidth="1"/>
    <col min="776" max="776" width="12.5" style="10" customWidth="1"/>
    <col min="777" max="777" width="12" style="10" customWidth="1"/>
    <col min="778" max="779" width="11.375" style="10" customWidth="1"/>
    <col min="780" max="781" width="14" style="10" customWidth="1"/>
    <col min="782" max="782" width="28.125" style="10" customWidth="1"/>
    <col min="783" max="783" width="25.75" style="10" customWidth="1"/>
    <col min="784" max="784" width="9" style="10"/>
    <col min="785" max="785" width="17" style="10" customWidth="1"/>
    <col min="786" max="1024" width="9" style="10"/>
    <col min="1025" max="1025" width="16.125" style="10" customWidth="1"/>
    <col min="1026" max="1026" width="13.75" style="10" customWidth="1"/>
    <col min="1027" max="1030" width="12.25" style="10" customWidth="1"/>
    <col min="1031" max="1031" width="11" style="10" customWidth="1"/>
    <col min="1032" max="1032" width="12.5" style="10" customWidth="1"/>
    <col min="1033" max="1033" width="12" style="10" customWidth="1"/>
    <col min="1034" max="1035" width="11.375" style="10" customWidth="1"/>
    <col min="1036" max="1037" width="14" style="10" customWidth="1"/>
    <col min="1038" max="1038" width="28.125" style="10" customWidth="1"/>
    <col min="1039" max="1039" width="25.75" style="10" customWidth="1"/>
    <col min="1040" max="1040" width="9" style="10"/>
    <col min="1041" max="1041" width="17" style="10" customWidth="1"/>
    <col min="1042" max="1280" width="9" style="10"/>
    <col min="1281" max="1281" width="16.125" style="10" customWidth="1"/>
    <col min="1282" max="1282" width="13.75" style="10" customWidth="1"/>
    <col min="1283" max="1286" width="12.25" style="10" customWidth="1"/>
    <col min="1287" max="1287" width="11" style="10" customWidth="1"/>
    <col min="1288" max="1288" width="12.5" style="10" customWidth="1"/>
    <col min="1289" max="1289" width="12" style="10" customWidth="1"/>
    <col min="1290" max="1291" width="11.375" style="10" customWidth="1"/>
    <col min="1292" max="1293" width="14" style="10" customWidth="1"/>
    <col min="1294" max="1294" width="28.125" style="10" customWidth="1"/>
    <col min="1295" max="1295" width="25.75" style="10" customWidth="1"/>
    <col min="1296" max="1296" width="9" style="10"/>
    <col min="1297" max="1297" width="17" style="10" customWidth="1"/>
    <col min="1298" max="1536" width="9" style="10"/>
    <col min="1537" max="1537" width="16.125" style="10" customWidth="1"/>
    <col min="1538" max="1538" width="13.75" style="10" customWidth="1"/>
    <col min="1539" max="1542" width="12.25" style="10" customWidth="1"/>
    <col min="1543" max="1543" width="11" style="10" customWidth="1"/>
    <col min="1544" max="1544" width="12.5" style="10" customWidth="1"/>
    <col min="1545" max="1545" width="12" style="10" customWidth="1"/>
    <col min="1546" max="1547" width="11.375" style="10" customWidth="1"/>
    <col min="1548" max="1549" width="14" style="10" customWidth="1"/>
    <col min="1550" max="1550" width="28.125" style="10" customWidth="1"/>
    <col min="1551" max="1551" width="25.75" style="10" customWidth="1"/>
    <col min="1552" max="1552" width="9" style="10"/>
    <col min="1553" max="1553" width="17" style="10" customWidth="1"/>
    <col min="1554" max="1792" width="9" style="10"/>
    <col min="1793" max="1793" width="16.125" style="10" customWidth="1"/>
    <col min="1794" max="1794" width="13.75" style="10" customWidth="1"/>
    <col min="1795" max="1798" width="12.25" style="10" customWidth="1"/>
    <col min="1799" max="1799" width="11" style="10" customWidth="1"/>
    <col min="1800" max="1800" width="12.5" style="10" customWidth="1"/>
    <col min="1801" max="1801" width="12" style="10" customWidth="1"/>
    <col min="1802" max="1803" width="11.375" style="10" customWidth="1"/>
    <col min="1804" max="1805" width="14" style="10" customWidth="1"/>
    <col min="1806" max="1806" width="28.125" style="10" customWidth="1"/>
    <col min="1807" max="1807" width="25.75" style="10" customWidth="1"/>
    <col min="1808" max="1808" width="9" style="10"/>
    <col min="1809" max="1809" width="17" style="10" customWidth="1"/>
    <col min="1810" max="2048" width="9" style="10"/>
    <col min="2049" max="2049" width="16.125" style="10" customWidth="1"/>
    <col min="2050" max="2050" width="13.75" style="10" customWidth="1"/>
    <col min="2051" max="2054" width="12.25" style="10" customWidth="1"/>
    <col min="2055" max="2055" width="11" style="10" customWidth="1"/>
    <col min="2056" max="2056" width="12.5" style="10" customWidth="1"/>
    <col min="2057" max="2057" width="12" style="10" customWidth="1"/>
    <col min="2058" max="2059" width="11.375" style="10" customWidth="1"/>
    <col min="2060" max="2061" width="14" style="10" customWidth="1"/>
    <col min="2062" max="2062" width="28.125" style="10" customWidth="1"/>
    <col min="2063" max="2063" width="25.75" style="10" customWidth="1"/>
    <col min="2064" max="2064" width="9" style="10"/>
    <col min="2065" max="2065" width="17" style="10" customWidth="1"/>
    <col min="2066" max="2304" width="9" style="10"/>
    <col min="2305" max="2305" width="16.125" style="10" customWidth="1"/>
    <col min="2306" max="2306" width="13.75" style="10" customWidth="1"/>
    <col min="2307" max="2310" width="12.25" style="10" customWidth="1"/>
    <col min="2311" max="2311" width="11" style="10" customWidth="1"/>
    <col min="2312" max="2312" width="12.5" style="10" customWidth="1"/>
    <col min="2313" max="2313" width="12" style="10" customWidth="1"/>
    <col min="2314" max="2315" width="11.375" style="10" customWidth="1"/>
    <col min="2316" max="2317" width="14" style="10" customWidth="1"/>
    <col min="2318" max="2318" width="28.125" style="10" customWidth="1"/>
    <col min="2319" max="2319" width="25.75" style="10" customWidth="1"/>
    <col min="2320" max="2320" width="9" style="10"/>
    <col min="2321" max="2321" width="17" style="10" customWidth="1"/>
    <col min="2322" max="2560" width="9" style="10"/>
    <col min="2561" max="2561" width="16.125" style="10" customWidth="1"/>
    <col min="2562" max="2562" width="13.75" style="10" customWidth="1"/>
    <col min="2563" max="2566" width="12.25" style="10" customWidth="1"/>
    <col min="2567" max="2567" width="11" style="10" customWidth="1"/>
    <col min="2568" max="2568" width="12.5" style="10" customWidth="1"/>
    <col min="2569" max="2569" width="12" style="10" customWidth="1"/>
    <col min="2570" max="2571" width="11.375" style="10" customWidth="1"/>
    <col min="2572" max="2573" width="14" style="10" customWidth="1"/>
    <col min="2574" max="2574" width="28.125" style="10" customWidth="1"/>
    <col min="2575" max="2575" width="25.75" style="10" customWidth="1"/>
    <col min="2576" max="2576" width="9" style="10"/>
    <col min="2577" max="2577" width="17" style="10" customWidth="1"/>
    <col min="2578" max="2816" width="9" style="10"/>
    <col min="2817" max="2817" width="16.125" style="10" customWidth="1"/>
    <col min="2818" max="2818" width="13.75" style="10" customWidth="1"/>
    <col min="2819" max="2822" width="12.25" style="10" customWidth="1"/>
    <col min="2823" max="2823" width="11" style="10" customWidth="1"/>
    <col min="2824" max="2824" width="12.5" style="10" customWidth="1"/>
    <col min="2825" max="2825" width="12" style="10" customWidth="1"/>
    <col min="2826" max="2827" width="11.375" style="10" customWidth="1"/>
    <col min="2828" max="2829" width="14" style="10" customWidth="1"/>
    <col min="2830" max="2830" width="28.125" style="10" customWidth="1"/>
    <col min="2831" max="2831" width="25.75" style="10" customWidth="1"/>
    <col min="2832" max="2832" width="9" style="10"/>
    <col min="2833" max="2833" width="17" style="10" customWidth="1"/>
    <col min="2834" max="3072" width="9" style="10"/>
    <col min="3073" max="3073" width="16.125" style="10" customWidth="1"/>
    <col min="3074" max="3074" width="13.75" style="10" customWidth="1"/>
    <col min="3075" max="3078" width="12.25" style="10" customWidth="1"/>
    <col min="3079" max="3079" width="11" style="10" customWidth="1"/>
    <col min="3080" max="3080" width="12.5" style="10" customWidth="1"/>
    <col min="3081" max="3081" width="12" style="10" customWidth="1"/>
    <col min="3082" max="3083" width="11.375" style="10" customWidth="1"/>
    <col min="3084" max="3085" width="14" style="10" customWidth="1"/>
    <col min="3086" max="3086" width="28.125" style="10" customWidth="1"/>
    <col min="3087" max="3087" width="25.75" style="10" customWidth="1"/>
    <col min="3088" max="3088" width="9" style="10"/>
    <col min="3089" max="3089" width="17" style="10" customWidth="1"/>
    <col min="3090" max="3328" width="9" style="10"/>
    <col min="3329" max="3329" width="16.125" style="10" customWidth="1"/>
    <col min="3330" max="3330" width="13.75" style="10" customWidth="1"/>
    <col min="3331" max="3334" width="12.25" style="10" customWidth="1"/>
    <col min="3335" max="3335" width="11" style="10" customWidth="1"/>
    <col min="3336" max="3336" width="12.5" style="10" customWidth="1"/>
    <col min="3337" max="3337" width="12" style="10" customWidth="1"/>
    <col min="3338" max="3339" width="11.375" style="10" customWidth="1"/>
    <col min="3340" max="3341" width="14" style="10" customWidth="1"/>
    <col min="3342" max="3342" width="28.125" style="10" customWidth="1"/>
    <col min="3343" max="3343" width="25.75" style="10" customWidth="1"/>
    <col min="3344" max="3344" width="9" style="10"/>
    <col min="3345" max="3345" width="17" style="10" customWidth="1"/>
    <col min="3346" max="3584" width="9" style="10"/>
    <col min="3585" max="3585" width="16.125" style="10" customWidth="1"/>
    <col min="3586" max="3586" width="13.75" style="10" customWidth="1"/>
    <col min="3587" max="3590" width="12.25" style="10" customWidth="1"/>
    <col min="3591" max="3591" width="11" style="10" customWidth="1"/>
    <col min="3592" max="3592" width="12.5" style="10" customWidth="1"/>
    <col min="3593" max="3593" width="12" style="10" customWidth="1"/>
    <col min="3594" max="3595" width="11.375" style="10" customWidth="1"/>
    <col min="3596" max="3597" width="14" style="10" customWidth="1"/>
    <col min="3598" max="3598" width="28.125" style="10" customWidth="1"/>
    <col min="3599" max="3599" width="25.75" style="10" customWidth="1"/>
    <col min="3600" max="3600" width="9" style="10"/>
    <col min="3601" max="3601" width="17" style="10" customWidth="1"/>
    <col min="3602" max="3840" width="9" style="10"/>
    <col min="3841" max="3841" width="16.125" style="10" customWidth="1"/>
    <col min="3842" max="3842" width="13.75" style="10" customWidth="1"/>
    <col min="3843" max="3846" width="12.25" style="10" customWidth="1"/>
    <col min="3847" max="3847" width="11" style="10" customWidth="1"/>
    <col min="3848" max="3848" width="12.5" style="10" customWidth="1"/>
    <col min="3849" max="3849" width="12" style="10" customWidth="1"/>
    <col min="3850" max="3851" width="11.375" style="10" customWidth="1"/>
    <col min="3852" max="3853" width="14" style="10" customWidth="1"/>
    <col min="3854" max="3854" width="28.125" style="10" customWidth="1"/>
    <col min="3855" max="3855" width="25.75" style="10" customWidth="1"/>
    <col min="3856" max="3856" width="9" style="10"/>
    <col min="3857" max="3857" width="17" style="10" customWidth="1"/>
    <col min="3858" max="4096" width="9" style="10"/>
    <col min="4097" max="4097" width="16.125" style="10" customWidth="1"/>
    <col min="4098" max="4098" width="13.75" style="10" customWidth="1"/>
    <col min="4099" max="4102" width="12.25" style="10" customWidth="1"/>
    <col min="4103" max="4103" width="11" style="10" customWidth="1"/>
    <col min="4104" max="4104" width="12.5" style="10" customWidth="1"/>
    <col min="4105" max="4105" width="12" style="10" customWidth="1"/>
    <col min="4106" max="4107" width="11.375" style="10" customWidth="1"/>
    <col min="4108" max="4109" width="14" style="10" customWidth="1"/>
    <col min="4110" max="4110" width="28.125" style="10" customWidth="1"/>
    <col min="4111" max="4111" width="25.75" style="10" customWidth="1"/>
    <col min="4112" max="4112" width="9" style="10"/>
    <col min="4113" max="4113" width="17" style="10" customWidth="1"/>
    <col min="4114" max="4352" width="9" style="10"/>
    <col min="4353" max="4353" width="16.125" style="10" customWidth="1"/>
    <col min="4354" max="4354" width="13.75" style="10" customWidth="1"/>
    <col min="4355" max="4358" width="12.25" style="10" customWidth="1"/>
    <col min="4359" max="4359" width="11" style="10" customWidth="1"/>
    <col min="4360" max="4360" width="12.5" style="10" customWidth="1"/>
    <col min="4361" max="4361" width="12" style="10" customWidth="1"/>
    <col min="4362" max="4363" width="11.375" style="10" customWidth="1"/>
    <col min="4364" max="4365" width="14" style="10" customWidth="1"/>
    <col min="4366" max="4366" width="28.125" style="10" customWidth="1"/>
    <col min="4367" max="4367" width="25.75" style="10" customWidth="1"/>
    <col min="4368" max="4368" width="9" style="10"/>
    <col min="4369" max="4369" width="17" style="10" customWidth="1"/>
    <col min="4370" max="4608" width="9" style="10"/>
    <col min="4609" max="4609" width="16.125" style="10" customWidth="1"/>
    <col min="4610" max="4610" width="13.75" style="10" customWidth="1"/>
    <col min="4611" max="4614" width="12.25" style="10" customWidth="1"/>
    <col min="4615" max="4615" width="11" style="10" customWidth="1"/>
    <col min="4616" max="4616" width="12.5" style="10" customWidth="1"/>
    <col min="4617" max="4617" width="12" style="10" customWidth="1"/>
    <col min="4618" max="4619" width="11.375" style="10" customWidth="1"/>
    <col min="4620" max="4621" width="14" style="10" customWidth="1"/>
    <col min="4622" max="4622" width="28.125" style="10" customWidth="1"/>
    <col min="4623" max="4623" width="25.75" style="10" customWidth="1"/>
    <col min="4624" max="4624" width="9" style="10"/>
    <col min="4625" max="4625" width="17" style="10" customWidth="1"/>
    <col min="4626" max="4864" width="9" style="10"/>
    <col min="4865" max="4865" width="16.125" style="10" customWidth="1"/>
    <col min="4866" max="4866" width="13.75" style="10" customWidth="1"/>
    <col min="4867" max="4870" width="12.25" style="10" customWidth="1"/>
    <col min="4871" max="4871" width="11" style="10" customWidth="1"/>
    <col min="4872" max="4872" width="12.5" style="10" customWidth="1"/>
    <col min="4873" max="4873" width="12" style="10" customWidth="1"/>
    <col min="4874" max="4875" width="11.375" style="10" customWidth="1"/>
    <col min="4876" max="4877" width="14" style="10" customWidth="1"/>
    <col min="4878" max="4878" width="28.125" style="10" customWidth="1"/>
    <col min="4879" max="4879" width="25.75" style="10" customWidth="1"/>
    <col min="4880" max="4880" width="9" style="10"/>
    <col min="4881" max="4881" width="17" style="10" customWidth="1"/>
    <col min="4882" max="5120" width="9" style="10"/>
    <col min="5121" max="5121" width="16.125" style="10" customWidth="1"/>
    <col min="5122" max="5122" width="13.75" style="10" customWidth="1"/>
    <col min="5123" max="5126" width="12.25" style="10" customWidth="1"/>
    <col min="5127" max="5127" width="11" style="10" customWidth="1"/>
    <col min="5128" max="5128" width="12.5" style="10" customWidth="1"/>
    <col min="5129" max="5129" width="12" style="10" customWidth="1"/>
    <col min="5130" max="5131" width="11.375" style="10" customWidth="1"/>
    <col min="5132" max="5133" width="14" style="10" customWidth="1"/>
    <col min="5134" max="5134" width="28.125" style="10" customWidth="1"/>
    <col min="5135" max="5135" width="25.75" style="10" customWidth="1"/>
    <col min="5136" max="5136" width="9" style="10"/>
    <col min="5137" max="5137" width="17" style="10" customWidth="1"/>
    <col min="5138" max="5376" width="9" style="10"/>
    <col min="5377" max="5377" width="16.125" style="10" customWidth="1"/>
    <col min="5378" max="5378" width="13.75" style="10" customWidth="1"/>
    <col min="5379" max="5382" width="12.25" style="10" customWidth="1"/>
    <col min="5383" max="5383" width="11" style="10" customWidth="1"/>
    <col min="5384" max="5384" width="12.5" style="10" customWidth="1"/>
    <col min="5385" max="5385" width="12" style="10" customWidth="1"/>
    <col min="5386" max="5387" width="11.375" style="10" customWidth="1"/>
    <col min="5388" max="5389" width="14" style="10" customWidth="1"/>
    <col min="5390" max="5390" width="28.125" style="10" customWidth="1"/>
    <col min="5391" max="5391" width="25.75" style="10" customWidth="1"/>
    <col min="5392" max="5392" width="9" style="10"/>
    <col min="5393" max="5393" width="17" style="10" customWidth="1"/>
    <col min="5394" max="5632" width="9" style="10"/>
    <col min="5633" max="5633" width="16.125" style="10" customWidth="1"/>
    <col min="5634" max="5634" width="13.75" style="10" customWidth="1"/>
    <col min="5635" max="5638" width="12.25" style="10" customWidth="1"/>
    <col min="5639" max="5639" width="11" style="10" customWidth="1"/>
    <col min="5640" max="5640" width="12.5" style="10" customWidth="1"/>
    <col min="5641" max="5641" width="12" style="10" customWidth="1"/>
    <col min="5642" max="5643" width="11.375" style="10" customWidth="1"/>
    <col min="5644" max="5645" width="14" style="10" customWidth="1"/>
    <col min="5646" max="5646" width="28.125" style="10" customWidth="1"/>
    <col min="5647" max="5647" width="25.75" style="10" customWidth="1"/>
    <col min="5648" max="5648" width="9" style="10"/>
    <col min="5649" max="5649" width="17" style="10" customWidth="1"/>
    <col min="5650" max="5888" width="9" style="10"/>
    <col min="5889" max="5889" width="16.125" style="10" customWidth="1"/>
    <col min="5890" max="5890" width="13.75" style="10" customWidth="1"/>
    <col min="5891" max="5894" width="12.25" style="10" customWidth="1"/>
    <col min="5895" max="5895" width="11" style="10" customWidth="1"/>
    <col min="5896" max="5896" width="12.5" style="10" customWidth="1"/>
    <col min="5897" max="5897" width="12" style="10" customWidth="1"/>
    <col min="5898" max="5899" width="11.375" style="10" customWidth="1"/>
    <col min="5900" max="5901" width="14" style="10" customWidth="1"/>
    <col min="5902" max="5902" width="28.125" style="10" customWidth="1"/>
    <col min="5903" max="5903" width="25.75" style="10" customWidth="1"/>
    <col min="5904" max="5904" width="9" style="10"/>
    <col min="5905" max="5905" width="17" style="10" customWidth="1"/>
    <col min="5906" max="6144" width="9" style="10"/>
    <col min="6145" max="6145" width="16.125" style="10" customWidth="1"/>
    <col min="6146" max="6146" width="13.75" style="10" customWidth="1"/>
    <col min="6147" max="6150" width="12.25" style="10" customWidth="1"/>
    <col min="6151" max="6151" width="11" style="10" customWidth="1"/>
    <col min="6152" max="6152" width="12.5" style="10" customWidth="1"/>
    <col min="6153" max="6153" width="12" style="10" customWidth="1"/>
    <col min="6154" max="6155" width="11.375" style="10" customWidth="1"/>
    <col min="6156" max="6157" width="14" style="10" customWidth="1"/>
    <col min="6158" max="6158" width="28.125" style="10" customWidth="1"/>
    <col min="6159" max="6159" width="25.75" style="10" customWidth="1"/>
    <col min="6160" max="6160" width="9" style="10"/>
    <col min="6161" max="6161" width="17" style="10" customWidth="1"/>
    <col min="6162" max="6400" width="9" style="10"/>
    <col min="6401" max="6401" width="16.125" style="10" customWidth="1"/>
    <col min="6402" max="6402" width="13.75" style="10" customWidth="1"/>
    <col min="6403" max="6406" width="12.25" style="10" customWidth="1"/>
    <col min="6407" max="6407" width="11" style="10" customWidth="1"/>
    <col min="6408" max="6408" width="12.5" style="10" customWidth="1"/>
    <col min="6409" max="6409" width="12" style="10" customWidth="1"/>
    <col min="6410" max="6411" width="11.375" style="10" customWidth="1"/>
    <col min="6412" max="6413" width="14" style="10" customWidth="1"/>
    <col min="6414" max="6414" width="28.125" style="10" customWidth="1"/>
    <col min="6415" max="6415" width="25.75" style="10" customWidth="1"/>
    <col min="6416" max="6416" width="9" style="10"/>
    <col min="6417" max="6417" width="17" style="10" customWidth="1"/>
    <col min="6418" max="6656" width="9" style="10"/>
    <col min="6657" max="6657" width="16.125" style="10" customWidth="1"/>
    <col min="6658" max="6658" width="13.75" style="10" customWidth="1"/>
    <col min="6659" max="6662" width="12.25" style="10" customWidth="1"/>
    <col min="6663" max="6663" width="11" style="10" customWidth="1"/>
    <col min="6664" max="6664" width="12.5" style="10" customWidth="1"/>
    <col min="6665" max="6665" width="12" style="10" customWidth="1"/>
    <col min="6666" max="6667" width="11.375" style="10" customWidth="1"/>
    <col min="6668" max="6669" width="14" style="10" customWidth="1"/>
    <col min="6670" max="6670" width="28.125" style="10" customWidth="1"/>
    <col min="6671" max="6671" width="25.75" style="10" customWidth="1"/>
    <col min="6672" max="6672" width="9" style="10"/>
    <col min="6673" max="6673" width="17" style="10" customWidth="1"/>
    <col min="6674" max="6912" width="9" style="10"/>
    <col min="6913" max="6913" width="16.125" style="10" customWidth="1"/>
    <col min="6914" max="6914" width="13.75" style="10" customWidth="1"/>
    <col min="6915" max="6918" width="12.25" style="10" customWidth="1"/>
    <col min="6919" max="6919" width="11" style="10" customWidth="1"/>
    <col min="6920" max="6920" width="12.5" style="10" customWidth="1"/>
    <col min="6921" max="6921" width="12" style="10" customWidth="1"/>
    <col min="6922" max="6923" width="11.375" style="10" customWidth="1"/>
    <col min="6924" max="6925" width="14" style="10" customWidth="1"/>
    <col min="6926" max="6926" width="28.125" style="10" customWidth="1"/>
    <col min="6927" max="6927" width="25.75" style="10" customWidth="1"/>
    <col min="6928" max="6928" width="9" style="10"/>
    <col min="6929" max="6929" width="17" style="10" customWidth="1"/>
    <col min="6930" max="7168" width="9" style="10"/>
    <col min="7169" max="7169" width="16.125" style="10" customWidth="1"/>
    <col min="7170" max="7170" width="13.75" style="10" customWidth="1"/>
    <col min="7171" max="7174" width="12.25" style="10" customWidth="1"/>
    <col min="7175" max="7175" width="11" style="10" customWidth="1"/>
    <col min="7176" max="7176" width="12.5" style="10" customWidth="1"/>
    <col min="7177" max="7177" width="12" style="10" customWidth="1"/>
    <col min="7178" max="7179" width="11.375" style="10" customWidth="1"/>
    <col min="7180" max="7181" width="14" style="10" customWidth="1"/>
    <col min="7182" max="7182" width="28.125" style="10" customWidth="1"/>
    <col min="7183" max="7183" width="25.75" style="10" customWidth="1"/>
    <col min="7184" max="7184" width="9" style="10"/>
    <col min="7185" max="7185" width="17" style="10" customWidth="1"/>
    <col min="7186" max="7424" width="9" style="10"/>
    <col min="7425" max="7425" width="16.125" style="10" customWidth="1"/>
    <col min="7426" max="7426" width="13.75" style="10" customWidth="1"/>
    <col min="7427" max="7430" width="12.25" style="10" customWidth="1"/>
    <col min="7431" max="7431" width="11" style="10" customWidth="1"/>
    <col min="7432" max="7432" width="12.5" style="10" customWidth="1"/>
    <col min="7433" max="7433" width="12" style="10" customWidth="1"/>
    <col min="7434" max="7435" width="11.375" style="10" customWidth="1"/>
    <col min="7436" max="7437" width="14" style="10" customWidth="1"/>
    <col min="7438" max="7438" width="28.125" style="10" customWidth="1"/>
    <col min="7439" max="7439" width="25.75" style="10" customWidth="1"/>
    <col min="7440" max="7440" width="9" style="10"/>
    <col min="7441" max="7441" width="17" style="10" customWidth="1"/>
    <col min="7442" max="7680" width="9" style="10"/>
    <col min="7681" max="7681" width="16.125" style="10" customWidth="1"/>
    <col min="7682" max="7682" width="13.75" style="10" customWidth="1"/>
    <col min="7683" max="7686" width="12.25" style="10" customWidth="1"/>
    <col min="7687" max="7687" width="11" style="10" customWidth="1"/>
    <col min="7688" max="7688" width="12.5" style="10" customWidth="1"/>
    <col min="7689" max="7689" width="12" style="10" customWidth="1"/>
    <col min="7690" max="7691" width="11.375" style="10" customWidth="1"/>
    <col min="7692" max="7693" width="14" style="10" customWidth="1"/>
    <col min="7694" max="7694" width="28.125" style="10" customWidth="1"/>
    <col min="7695" max="7695" width="25.75" style="10" customWidth="1"/>
    <col min="7696" max="7696" width="9" style="10"/>
    <col min="7697" max="7697" width="17" style="10" customWidth="1"/>
    <col min="7698" max="7936" width="9" style="10"/>
    <col min="7937" max="7937" width="16.125" style="10" customWidth="1"/>
    <col min="7938" max="7938" width="13.75" style="10" customWidth="1"/>
    <col min="7939" max="7942" width="12.25" style="10" customWidth="1"/>
    <col min="7943" max="7943" width="11" style="10" customWidth="1"/>
    <col min="7944" max="7944" width="12.5" style="10" customWidth="1"/>
    <col min="7945" max="7945" width="12" style="10" customWidth="1"/>
    <col min="7946" max="7947" width="11.375" style="10" customWidth="1"/>
    <col min="7948" max="7949" width="14" style="10" customWidth="1"/>
    <col min="7950" max="7950" width="28.125" style="10" customWidth="1"/>
    <col min="7951" max="7951" width="25.75" style="10" customWidth="1"/>
    <col min="7952" max="7952" width="9" style="10"/>
    <col min="7953" max="7953" width="17" style="10" customWidth="1"/>
    <col min="7954" max="8192" width="9" style="10"/>
    <col min="8193" max="8193" width="16.125" style="10" customWidth="1"/>
    <col min="8194" max="8194" width="13.75" style="10" customWidth="1"/>
    <col min="8195" max="8198" width="12.25" style="10" customWidth="1"/>
    <col min="8199" max="8199" width="11" style="10" customWidth="1"/>
    <col min="8200" max="8200" width="12.5" style="10" customWidth="1"/>
    <col min="8201" max="8201" width="12" style="10" customWidth="1"/>
    <col min="8202" max="8203" width="11.375" style="10" customWidth="1"/>
    <col min="8204" max="8205" width="14" style="10" customWidth="1"/>
    <col min="8206" max="8206" width="28.125" style="10" customWidth="1"/>
    <col min="8207" max="8207" width="25.75" style="10" customWidth="1"/>
    <col min="8208" max="8208" width="9" style="10"/>
    <col min="8209" max="8209" width="17" style="10" customWidth="1"/>
    <col min="8210" max="8448" width="9" style="10"/>
    <col min="8449" max="8449" width="16.125" style="10" customWidth="1"/>
    <col min="8450" max="8450" width="13.75" style="10" customWidth="1"/>
    <col min="8451" max="8454" width="12.25" style="10" customWidth="1"/>
    <col min="8455" max="8455" width="11" style="10" customWidth="1"/>
    <col min="8456" max="8456" width="12.5" style="10" customWidth="1"/>
    <col min="8457" max="8457" width="12" style="10" customWidth="1"/>
    <col min="8458" max="8459" width="11.375" style="10" customWidth="1"/>
    <col min="8460" max="8461" width="14" style="10" customWidth="1"/>
    <col min="8462" max="8462" width="28.125" style="10" customWidth="1"/>
    <col min="8463" max="8463" width="25.75" style="10" customWidth="1"/>
    <col min="8464" max="8464" width="9" style="10"/>
    <col min="8465" max="8465" width="17" style="10" customWidth="1"/>
    <col min="8466" max="8704" width="9" style="10"/>
    <col min="8705" max="8705" width="16.125" style="10" customWidth="1"/>
    <col min="8706" max="8706" width="13.75" style="10" customWidth="1"/>
    <col min="8707" max="8710" width="12.25" style="10" customWidth="1"/>
    <col min="8711" max="8711" width="11" style="10" customWidth="1"/>
    <col min="8712" max="8712" width="12.5" style="10" customWidth="1"/>
    <col min="8713" max="8713" width="12" style="10" customWidth="1"/>
    <col min="8714" max="8715" width="11.375" style="10" customWidth="1"/>
    <col min="8716" max="8717" width="14" style="10" customWidth="1"/>
    <col min="8718" max="8718" width="28.125" style="10" customWidth="1"/>
    <col min="8719" max="8719" width="25.75" style="10" customWidth="1"/>
    <col min="8720" max="8720" width="9" style="10"/>
    <col min="8721" max="8721" width="17" style="10" customWidth="1"/>
    <col min="8722" max="8960" width="9" style="10"/>
    <col min="8961" max="8961" width="16.125" style="10" customWidth="1"/>
    <col min="8962" max="8962" width="13.75" style="10" customWidth="1"/>
    <col min="8963" max="8966" width="12.25" style="10" customWidth="1"/>
    <col min="8967" max="8967" width="11" style="10" customWidth="1"/>
    <col min="8968" max="8968" width="12.5" style="10" customWidth="1"/>
    <col min="8969" max="8969" width="12" style="10" customWidth="1"/>
    <col min="8970" max="8971" width="11.375" style="10" customWidth="1"/>
    <col min="8972" max="8973" width="14" style="10" customWidth="1"/>
    <col min="8974" max="8974" width="28.125" style="10" customWidth="1"/>
    <col min="8975" max="8975" width="25.75" style="10" customWidth="1"/>
    <col min="8976" max="8976" width="9" style="10"/>
    <col min="8977" max="8977" width="17" style="10" customWidth="1"/>
    <col min="8978" max="9216" width="9" style="10"/>
    <col min="9217" max="9217" width="16.125" style="10" customWidth="1"/>
    <col min="9218" max="9218" width="13.75" style="10" customWidth="1"/>
    <col min="9219" max="9222" width="12.25" style="10" customWidth="1"/>
    <col min="9223" max="9223" width="11" style="10" customWidth="1"/>
    <col min="9224" max="9224" width="12.5" style="10" customWidth="1"/>
    <col min="9225" max="9225" width="12" style="10" customWidth="1"/>
    <col min="9226" max="9227" width="11.375" style="10" customWidth="1"/>
    <col min="9228" max="9229" width="14" style="10" customWidth="1"/>
    <col min="9230" max="9230" width="28.125" style="10" customWidth="1"/>
    <col min="9231" max="9231" width="25.75" style="10" customWidth="1"/>
    <col min="9232" max="9232" width="9" style="10"/>
    <col min="9233" max="9233" width="17" style="10" customWidth="1"/>
    <col min="9234" max="9472" width="9" style="10"/>
    <col min="9473" max="9473" width="16.125" style="10" customWidth="1"/>
    <col min="9474" max="9474" width="13.75" style="10" customWidth="1"/>
    <col min="9475" max="9478" width="12.25" style="10" customWidth="1"/>
    <col min="9479" max="9479" width="11" style="10" customWidth="1"/>
    <col min="9480" max="9480" width="12.5" style="10" customWidth="1"/>
    <col min="9481" max="9481" width="12" style="10" customWidth="1"/>
    <col min="9482" max="9483" width="11.375" style="10" customWidth="1"/>
    <col min="9484" max="9485" width="14" style="10" customWidth="1"/>
    <col min="9486" max="9486" width="28.125" style="10" customWidth="1"/>
    <col min="9487" max="9487" width="25.75" style="10" customWidth="1"/>
    <col min="9488" max="9488" width="9" style="10"/>
    <col min="9489" max="9489" width="17" style="10" customWidth="1"/>
    <col min="9490" max="9728" width="9" style="10"/>
    <col min="9729" max="9729" width="16.125" style="10" customWidth="1"/>
    <col min="9730" max="9730" width="13.75" style="10" customWidth="1"/>
    <col min="9731" max="9734" width="12.25" style="10" customWidth="1"/>
    <col min="9735" max="9735" width="11" style="10" customWidth="1"/>
    <col min="9736" max="9736" width="12.5" style="10" customWidth="1"/>
    <col min="9737" max="9737" width="12" style="10" customWidth="1"/>
    <col min="9738" max="9739" width="11.375" style="10" customWidth="1"/>
    <col min="9740" max="9741" width="14" style="10" customWidth="1"/>
    <col min="9742" max="9742" width="28.125" style="10" customWidth="1"/>
    <col min="9743" max="9743" width="25.75" style="10" customWidth="1"/>
    <col min="9744" max="9744" width="9" style="10"/>
    <col min="9745" max="9745" width="17" style="10" customWidth="1"/>
    <col min="9746" max="9984" width="9" style="10"/>
    <col min="9985" max="9985" width="16.125" style="10" customWidth="1"/>
    <col min="9986" max="9986" width="13.75" style="10" customWidth="1"/>
    <col min="9987" max="9990" width="12.25" style="10" customWidth="1"/>
    <col min="9991" max="9991" width="11" style="10" customWidth="1"/>
    <col min="9992" max="9992" width="12.5" style="10" customWidth="1"/>
    <col min="9993" max="9993" width="12" style="10" customWidth="1"/>
    <col min="9994" max="9995" width="11.375" style="10" customWidth="1"/>
    <col min="9996" max="9997" width="14" style="10" customWidth="1"/>
    <col min="9998" max="9998" width="28.125" style="10" customWidth="1"/>
    <col min="9999" max="9999" width="25.75" style="10" customWidth="1"/>
    <col min="10000" max="10000" width="9" style="10"/>
    <col min="10001" max="10001" width="17" style="10" customWidth="1"/>
    <col min="10002" max="10240" width="9" style="10"/>
    <col min="10241" max="10241" width="16.125" style="10" customWidth="1"/>
    <col min="10242" max="10242" width="13.75" style="10" customWidth="1"/>
    <col min="10243" max="10246" width="12.25" style="10" customWidth="1"/>
    <col min="10247" max="10247" width="11" style="10" customWidth="1"/>
    <col min="10248" max="10248" width="12.5" style="10" customWidth="1"/>
    <col min="10249" max="10249" width="12" style="10" customWidth="1"/>
    <col min="10250" max="10251" width="11.375" style="10" customWidth="1"/>
    <col min="10252" max="10253" width="14" style="10" customWidth="1"/>
    <col min="10254" max="10254" width="28.125" style="10" customWidth="1"/>
    <col min="10255" max="10255" width="25.75" style="10" customWidth="1"/>
    <col min="10256" max="10256" width="9" style="10"/>
    <col min="10257" max="10257" width="17" style="10" customWidth="1"/>
    <col min="10258" max="10496" width="9" style="10"/>
    <col min="10497" max="10497" width="16.125" style="10" customWidth="1"/>
    <col min="10498" max="10498" width="13.75" style="10" customWidth="1"/>
    <col min="10499" max="10502" width="12.25" style="10" customWidth="1"/>
    <col min="10503" max="10503" width="11" style="10" customWidth="1"/>
    <col min="10504" max="10504" width="12.5" style="10" customWidth="1"/>
    <col min="10505" max="10505" width="12" style="10" customWidth="1"/>
    <col min="10506" max="10507" width="11.375" style="10" customWidth="1"/>
    <col min="10508" max="10509" width="14" style="10" customWidth="1"/>
    <col min="10510" max="10510" width="28.125" style="10" customWidth="1"/>
    <col min="10511" max="10511" width="25.75" style="10" customWidth="1"/>
    <col min="10512" max="10512" width="9" style="10"/>
    <col min="10513" max="10513" width="17" style="10" customWidth="1"/>
    <col min="10514" max="10752" width="9" style="10"/>
    <col min="10753" max="10753" width="16.125" style="10" customWidth="1"/>
    <col min="10754" max="10754" width="13.75" style="10" customWidth="1"/>
    <col min="10755" max="10758" width="12.25" style="10" customWidth="1"/>
    <col min="10759" max="10759" width="11" style="10" customWidth="1"/>
    <col min="10760" max="10760" width="12.5" style="10" customWidth="1"/>
    <col min="10761" max="10761" width="12" style="10" customWidth="1"/>
    <col min="10762" max="10763" width="11.375" style="10" customWidth="1"/>
    <col min="10764" max="10765" width="14" style="10" customWidth="1"/>
    <col min="10766" max="10766" width="28.125" style="10" customWidth="1"/>
    <col min="10767" max="10767" width="25.75" style="10" customWidth="1"/>
    <col min="10768" max="10768" width="9" style="10"/>
    <col min="10769" max="10769" width="17" style="10" customWidth="1"/>
    <col min="10770" max="11008" width="9" style="10"/>
    <col min="11009" max="11009" width="16.125" style="10" customWidth="1"/>
    <col min="11010" max="11010" width="13.75" style="10" customWidth="1"/>
    <col min="11011" max="11014" width="12.25" style="10" customWidth="1"/>
    <col min="11015" max="11015" width="11" style="10" customWidth="1"/>
    <col min="11016" max="11016" width="12.5" style="10" customWidth="1"/>
    <col min="11017" max="11017" width="12" style="10" customWidth="1"/>
    <col min="11018" max="11019" width="11.375" style="10" customWidth="1"/>
    <col min="11020" max="11021" width="14" style="10" customWidth="1"/>
    <col min="11022" max="11022" width="28.125" style="10" customWidth="1"/>
    <col min="11023" max="11023" width="25.75" style="10" customWidth="1"/>
    <col min="11024" max="11024" width="9" style="10"/>
    <col min="11025" max="11025" width="17" style="10" customWidth="1"/>
    <col min="11026" max="11264" width="9" style="10"/>
    <col min="11265" max="11265" width="16.125" style="10" customWidth="1"/>
    <col min="11266" max="11266" width="13.75" style="10" customWidth="1"/>
    <col min="11267" max="11270" width="12.25" style="10" customWidth="1"/>
    <col min="11271" max="11271" width="11" style="10" customWidth="1"/>
    <col min="11272" max="11272" width="12.5" style="10" customWidth="1"/>
    <col min="11273" max="11273" width="12" style="10" customWidth="1"/>
    <col min="11274" max="11275" width="11.375" style="10" customWidth="1"/>
    <col min="11276" max="11277" width="14" style="10" customWidth="1"/>
    <col min="11278" max="11278" width="28.125" style="10" customWidth="1"/>
    <col min="11279" max="11279" width="25.75" style="10" customWidth="1"/>
    <col min="11280" max="11280" width="9" style="10"/>
    <col min="11281" max="11281" width="17" style="10" customWidth="1"/>
    <col min="11282" max="11520" width="9" style="10"/>
    <col min="11521" max="11521" width="16.125" style="10" customWidth="1"/>
    <col min="11522" max="11522" width="13.75" style="10" customWidth="1"/>
    <col min="11523" max="11526" width="12.25" style="10" customWidth="1"/>
    <col min="11527" max="11527" width="11" style="10" customWidth="1"/>
    <col min="11528" max="11528" width="12.5" style="10" customWidth="1"/>
    <col min="11529" max="11529" width="12" style="10" customWidth="1"/>
    <col min="11530" max="11531" width="11.375" style="10" customWidth="1"/>
    <col min="11532" max="11533" width="14" style="10" customWidth="1"/>
    <col min="11534" max="11534" width="28.125" style="10" customWidth="1"/>
    <col min="11535" max="11535" width="25.75" style="10" customWidth="1"/>
    <col min="11536" max="11536" width="9" style="10"/>
    <col min="11537" max="11537" width="17" style="10" customWidth="1"/>
    <col min="11538" max="11776" width="9" style="10"/>
    <col min="11777" max="11777" width="16.125" style="10" customWidth="1"/>
    <col min="11778" max="11778" width="13.75" style="10" customWidth="1"/>
    <col min="11779" max="11782" width="12.25" style="10" customWidth="1"/>
    <col min="11783" max="11783" width="11" style="10" customWidth="1"/>
    <col min="11784" max="11784" width="12.5" style="10" customWidth="1"/>
    <col min="11785" max="11785" width="12" style="10" customWidth="1"/>
    <col min="11786" max="11787" width="11.375" style="10" customWidth="1"/>
    <col min="11788" max="11789" width="14" style="10" customWidth="1"/>
    <col min="11790" max="11790" width="28.125" style="10" customWidth="1"/>
    <col min="11791" max="11791" width="25.75" style="10" customWidth="1"/>
    <col min="11792" max="11792" width="9" style="10"/>
    <col min="11793" max="11793" width="17" style="10" customWidth="1"/>
    <col min="11794" max="12032" width="9" style="10"/>
    <col min="12033" max="12033" width="16.125" style="10" customWidth="1"/>
    <col min="12034" max="12034" width="13.75" style="10" customWidth="1"/>
    <col min="12035" max="12038" width="12.25" style="10" customWidth="1"/>
    <col min="12039" max="12039" width="11" style="10" customWidth="1"/>
    <col min="12040" max="12040" width="12.5" style="10" customWidth="1"/>
    <col min="12041" max="12041" width="12" style="10" customWidth="1"/>
    <col min="12042" max="12043" width="11.375" style="10" customWidth="1"/>
    <col min="12044" max="12045" width="14" style="10" customWidth="1"/>
    <col min="12046" max="12046" width="28.125" style="10" customWidth="1"/>
    <col min="12047" max="12047" width="25.75" style="10" customWidth="1"/>
    <col min="12048" max="12048" width="9" style="10"/>
    <col min="12049" max="12049" width="17" style="10" customWidth="1"/>
    <col min="12050" max="12288" width="9" style="10"/>
    <col min="12289" max="12289" width="16.125" style="10" customWidth="1"/>
    <col min="12290" max="12290" width="13.75" style="10" customWidth="1"/>
    <col min="12291" max="12294" width="12.25" style="10" customWidth="1"/>
    <col min="12295" max="12295" width="11" style="10" customWidth="1"/>
    <col min="12296" max="12296" width="12.5" style="10" customWidth="1"/>
    <col min="12297" max="12297" width="12" style="10" customWidth="1"/>
    <col min="12298" max="12299" width="11.375" style="10" customWidth="1"/>
    <col min="12300" max="12301" width="14" style="10" customWidth="1"/>
    <col min="12302" max="12302" width="28.125" style="10" customWidth="1"/>
    <col min="12303" max="12303" width="25.75" style="10" customWidth="1"/>
    <col min="12304" max="12304" width="9" style="10"/>
    <col min="12305" max="12305" width="17" style="10" customWidth="1"/>
    <col min="12306" max="12544" width="9" style="10"/>
    <col min="12545" max="12545" width="16.125" style="10" customWidth="1"/>
    <col min="12546" max="12546" width="13.75" style="10" customWidth="1"/>
    <col min="12547" max="12550" width="12.25" style="10" customWidth="1"/>
    <col min="12551" max="12551" width="11" style="10" customWidth="1"/>
    <col min="12552" max="12552" width="12.5" style="10" customWidth="1"/>
    <col min="12553" max="12553" width="12" style="10" customWidth="1"/>
    <col min="12554" max="12555" width="11.375" style="10" customWidth="1"/>
    <col min="12556" max="12557" width="14" style="10" customWidth="1"/>
    <col min="12558" max="12558" width="28.125" style="10" customWidth="1"/>
    <col min="12559" max="12559" width="25.75" style="10" customWidth="1"/>
    <col min="12560" max="12560" width="9" style="10"/>
    <col min="12561" max="12561" width="17" style="10" customWidth="1"/>
    <col min="12562" max="12800" width="9" style="10"/>
    <col min="12801" max="12801" width="16.125" style="10" customWidth="1"/>
    <col min="12802" max="12802" width="13.75" style="10" customWidth="1"/>
    <col min="12803" max="12806" width="12.25" style="10" customWidth="1"/>
    <col min="12807" max="12807" width="11" style="10" customWidth="1"/>
    <col min="12808" max="12808" width="12.5" style="10" customWidth="1"/>
    <col min="12809" max="12809" width="12" style="10" customWidth="1"/>
    <col min="12810" max="12811" width="11.375" style="10" customWidth="1"/>
    <col min="12812" max="12813" width="14" style="10" customWidth="1"/>
    <col min="12814" max="12814" width="28.125" style="10" customWidth="1"/>
    <col min="12815" max="12815" width="25.75" style="10" customWidth="1"/>
    <col min="12816" max="12816" width="9" style="10"/>
    <col min="12817" max="12817" width="17" style="10" customWidth="1"/>
    <col min="12818" max="13056" width="9" style="10"/>
    <col min="13057" max="13057" width="16.125" style="10" customWidth="1"/>
    <col min="13058" max="13058" width="13.75" style="10" customWidth="1"/>
    <col min="13059" max="13062" width="12.25" style="10" customWidth="1"/>
    <col min="13063" max="13063" width="11" style="10" customWidth="1"/>
    <col min="13064" max="13064" width="12.5" style="10" customWidth="1"/>
    <col min="13065" max="13065" width="12" style="10" customWidth="1"/>
    <col min="13066" max="13067" width="11.375" style="10" customWidth="1"/>
    <col min="13068" max="13069" width="14" style="10" customWidth="1"/>
    <col min="13070" max="13070" width="28.125" style="10" customWidth="1"/>
    <col min="13071" max="13071" width="25.75" style="10" customWidth="1"/>
    <col min="13072" max="13072" width="9" style="10"/>
    <col min="13073" max="13073" width="17" style="10" customWidth="1"/>
    <col min="13074" max="13312" width="9" style="10"/>
    <col min="13313" max="13313" width="16.125" style="10" customWidth="1"/>
    <col min="13314" max="13314" width="13.75" style="10" customWidth="1"/>
    <col min="13315" max="13318" width="12.25" style="10" customWidth="1"/>
    <col min="13319" max="13319" width="11" style="10" customWidth="1"/>
    <col min="13320" max="13320" width="12.5" style="10" customWidth="1"/>
    <col min="13321" max="13321" width="12" style="10" customWidth="1"/>
    <col min="13322" max="13323" width="11.375" style="10" customWidth="1"/>
    <col min="13324" max="13325" width="14" style="10" customWidth="1"/>
    <col min="13326" max="13326" width="28.125" style="10" customWidth="1"/>
    <col min="13327" max="13327" width="25.75" style="10" customWidth="1"/>
    <col min="13328" max="13328" width="9" style="10"/>
    <col min="13329" max="13329" width="17" style="10" customWidth="1"/>
    <col min="13330" max="13568" width="9" style="10"/>
    <col min="13569" max="13569" width="16.125" style="10" customWidth="1"/>
    <col min="13570" max="13570" width="13.75" style="10" customWidth="1"/>
    <col min="13571" max="13574" width="12.25" style="10" customWidth="1"/>
    <col min="13575" max="13575" width="11" style="10" customWidth="1"/>
    <col min="13576" max="13576" width="12.5" style="10" customWidth="1"/>
    <col min="13577" max="13577" width="12" style="10" customWidth="1"/>
    <col min="13578" max="13579" width="11.375" style="10" customWidth="1"/>
    <col min="13580" max="13581" width="14" style="10" customWidth="1"/>
    <col min="13582" max="13582" width="28.125" style="10" customWidth="1"/>
    <col min="13583" max="13583" width="25.75" style="10" customWidth="1"/>
    <col min="13584" max="13584" width="9" style="10"/>
    <col min="13585" max="13585" width="17" style="10" customWidth="1"/>
    <col min="13586" max="13824" width="9" style="10"/>
    <col min="13825" max="13825" width="16.125" style="10" customWidth="1"/>
    <col min="13826" max="13826" width="13.75" style="10" customWidth="1"/>
    <col min="13827" max="13830" width="12.25" style="10" customWidth="1"/>
    <col min="13831" max="13831" width="11" style="10" customWidth="1"/>
    <col min="13832" max="13832" width="12.5" style="10" customWidth="1"/>
    <col min="13833" max="13833" width="12" style="10" customWidth="1"/>
    <col min="13834" max="13835" width="11.375" style="10" customWidth="1"/>
    <col min="13836" max="13837" width="14" style="10" customWidth="1"/>
    <col min="13838" max="13838" width="28.125" style="10" customWidth="1"/>
    <col min="13839" max="13839" width="25.75" style="10" customWidth="1"/>
    <col min="13840" max="13840" width="9" style="10"/>
    <col min="13841" max="13841" width="17" style="10" customWidth="1"/>
    <col min="13842" max="14080" width="9" style="10"/>
    <col min="14081" max="14081" width="16.125" style="10" customWidth="1"/>
    <col min="14082" max="14082" width="13.75" style="10" customWidth="1"/>
    <col min="14083" max="14086" width="12.25" style="10" customWidth="1"/>
    <col min="14087" max="14087" width="11" style="10" customWidth="1"/>
    <col min="14088" max="14088" width="12.5" style="10" customWidth="1"/>
    <col min="14089" max="14089" width="12" style="10" customWidth="1"/>
    <col min="14090" max="14091" width="11.375" style="10" customWidth="1"/>
    <col min="14092" max="14093" width="14" style="10" customWidth="1"/>
    <col min="14094" max="14094" width="28.125" style="10" customWidth="1"/>
    <col min="14095" max="14095" width="25.75" style="10" customWidth="1"/>
    <col min="14096" max="14096" width="9" style="10"/>
    <col min="14097" max="14097" width="17" style="10" customWidth="1"/>
    <col min="14098" max="14336" width="9" style="10"/>
    <col min="14337" max="14337" width="16.125" style="10" customWidth="1"/>
    <col min="14338" max="14338" width="13.75" style="10" customWidth="1"/>
    <col min="14339" max="14342" width="12.25" style="10" customWidth="1"/>
    <col min="14343" max="14343" width="11" style="10" customWidth="1"/>
    <col min="14344" max="14344" width="12.5" style="10" customWidth="1"/>
    <col min="14345" max="14345" width="12" style="10" customWidth="1"/>
    <col min="14346" max="14347" width="11.375" style="10" customWidth="1"/>
    <col min="14348" max="14349" width="14" style="10" customWidth="1"/>
    <col min="14350" max="14350" width="28.125" style="10" customWidth="1"/>
    <col min="14351" max="14351" width="25.75" style="10" customWidth="1"/>
    <col min="14352" max="14352" width="9" style="10"/>
    <col min="14353" max="14353" width="17" style="10" customWidth="1"/>
    <col min="14354" max="14592" width="9" style="10"/>
    <col min="14593" max="14593" width="16.125" style="10" customWidth="1"/>
    <col min="14594" max="14594" width="13.75" style="10" customWidth="1"/>
    <col min="14595" max="14598" width="12.25" style="10" customWidth="1"/>
    <col min="14599" max="14599" width="11" style="10" customWidth="1"/>
    <col min="14600" max="14600" width="12.5" style="10" customWidth="1"/>
    <col min="14601" max="14601" width="12" style="10" customWidth="1"/>
    <col min="14602" max="14603" width="11.375" style="10" customWidth="1"/>
    <col min="14604" max="14605" width="14" style="10" customWidth="1"/>
    <col min="14606" max="14606" width="28.125" style="10" customWidth="1"/>
    <col min="14607" max="14607" width="25.75" style="10" customWidth="1"/>
    <col min="14608" max="14608" width="9" style="10"/>
    <col min="14609" max="14609" width="17" style="10" customWidth="1"/>
    <col min="14610" max="14848" width="9" style="10"/>
    <col min="14849" max="14849" width="16.125" style="10" customWidth="1"/>
    <col min="14850" max="14850" width="13.75" style="10" customWidth="1"/>
    <col min="14851" max="14854" width="12.25" style="10" customWidth="1"/>
    <col min="14855" max="14855" width="11" style="10" customWidth="1"/>
    <col min="14856" max="14856" width="12.5" style="10" customWidth="1"/>
    <col min="14857" max="14857" width="12" style="10" customWidth="1"/>
    <col min="14858" max="14859" width="11.375" style="10" customWidth="1"/>
    <col min="14860" max="14861" width="14" style="10" customWidth="1"/>
    <col min="14862" max="14862" width="28.125" style="10" customWidth="1"/>
    <col min="14863" max="14863" width="25.75" style="10" customWidth="1"/>
    <col min="14864" max="14864" width="9" style="10"/>
    <col min="14865" max="14865" width="17" style="10" customWidth="1"/>
    <col min="14866" max="15104" width="9" style="10"/>
    <col min="15105" max="15105" width="16.125" style="10" customWidth="1"/>
    <col min="15106" max="15106" width="13.75" style="10" customWidth="1"/>
    <col min="15107" max="15110" width="12.25" style="10" customWidth="1"/>
    <col min="15111" max="15111" width="11" style="10" customWidth="1"/>
    <col min="15112" max="15112" width="12.5" style="10" customWidth="1"/>
    <col min="15113" max="15113" width="12" style="10" customWidth="1"/>
    <col min="15114" max="15115" width="11.375" style="10" customWidth="1"/>
    <col min="15116" max="15117" width="14" style="10" customWidth="1"/>
    <col min="15118" max="15118" width="28.125" style="10" customWidth="1"/>
    <col min="15119" max="15119" width="25.75" style="10" customWidth="1"/>
    <col min="15120" max="15120" width="9" style="10"/>
    <col min="15121" max="15121" width="17" style="10" customWidth="1"/>
    <col min="15122" max="15360" width="9" style="10"/>
    <col min="15361" max="15361" width="16.125" style="10" customWidth="1"/>
    <col min="15362" max="15362" width="13.75" style="10" customWidth="1"/>
    <col min="15363" max="15366" width="12.25" style="10" customWidth="1"/>
    <col min="15367" max="15367" width="11" style="10" customWidth="1"/>
    <col min="15368" max="15368" width="12.5" style="10" customWidth="1"/>
    <col min="15369" max="15369" width="12" style="10" customWidth="1"/>
    <col min="15370" max="15371" width="11.375" style="10" customWidth="1"/>
    <col min="15372" max="15373" width="14" style="10" customWidth="1"/>
    <col min="15374" max="15374" width="28.125" style="10" customWidth="1"/>
    <col min="15375" max="15375" width="25.75" style="10" customWidth="1"/>
    <col min="15376" max="15376" width="9" style="10"/>
    <col min="15377" max="15377" width="17" style="10" customWidth="1"/>
    <col min="15378" max="15616" width="9" style="10"/>
    <col min="15617" max="15617" width="16.125" style="10" customWidth="1"/>
    <col min="15618" max="15618" width="13.75" style="10" customWidth="1"/>
    <col min="15619" max="15622" width="12.25" style="10" customWidth="1"/>
    <col min="15623" max="15623" width="11" style="10" customWidth="1"/>
    <col min="15624" max="15624" width="12.5" style="10" customWidth="1"/>
    <col min="15625" max="15625" width="12" style="10" customWidth="1"/>
    <col min="15626" max="15627" width="11.375" style="10" customWidth="1"/>
    <col min="15628" max="15629" width="14" style="10" customWidth="1"/>
    <col min="15630" max="15630" width="28.125" style="10" customWidth="1"/>
    <col min="15631" max="15631" width="25.75" style="10" customWidth="1"/>
    <col min="15632" max="15632" width="9" style="10"/>
    <col min="15633" max="15633" width="17" style="10" customWidth="1"/>
    <col min="15634" max="15872" width="9" style="10"/>
    <col min="15873" max="15873" width="16.125" style="10" customWidth="1"/>
    <col min="15874" max="15874" width="13.75" style="10" customWidth="1"/>
    <col min="15875" max="15878" width="12.25" style="10" customWidth="1"/>
    <col min="15879" max="15879" width="11" style="10" customWidth="1"/>
    <col min="15880" max="15880" width="12.5" style="10" customWidth="1"/>
    <col min="15881" max="15881" width="12" style="10" customWidth="1"/>
    <col min="15882" max="15883" width="11.375" style="10" customWidth="1"/>
    <col min="15884" max="15885" width="14" style="10" customWidth="1"/>
    <col min="15886" max="15886" width="28.125" style="10" customWidth="1"/>
    <col min="15887" max="15887" width="25.75" style="10" customWidth="1"/>
    <col min="15888" max="15888" width="9" style="10"/>
    <col min="15889" max="15889" width="17" style="10" customWidth="1"/>
    <col min="15890" max="16128" width="9" style="10"/>
    <col min="16129" max="16129" width="16.125" style="10" customWidth="1"/>
    <col min="16130" max="16130" width="13.75" style="10" customWidth="1"/>
    <col min="16131" max="16134" width="12.25" style="10" customWidth="1"/>
    <col min="16135" max="16135" width="11" style="10" customWidth="1"/>
    <col min="16136" max="16136" width="12.5" style="10" customWidth="1"/>
    <col min="16137" max="16137" width="12" style="10" customWidth="1"/>
    <col min="16138" max="16139" width="11.375" style="10" customWidth="1"/>
    <col min="16140" max="16141" width="14" style="10" customWidth="1"/>
    <col min="16142" max="16142" width="28.125" style="10" customWidth="1"/>
    <col min="16143" max="16143" width="25.75" style="10" customWidth="1"/>
    <col min="16144" max="16144" width="9" style="10"/>
    <col min="16145" max="16145" width="17" style="10" customWidth="1"/>
    <col min="16146" max="16384" width="9" style="10"/>
  </cols>
  <sheetData>
    <row r="1" s="1" customFormat="1" ht="28.5" customHeight="1" spans="1:14">
      <c r="A1" s="11" t="s">
        <v>425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2" s="2" customFormat="1" ht="18" customHeight="1" spans="1:11">
      <c r="A2" s="2" t="s">
        <v>64</v>
      </c>
      <c r="I2" s="44"/>
      <c r="J2" s="44"/>
      <c r="K2" s="44"/>
    </row>
    <row r="3" s="3" customFormat="1" ht="15" customHeight="1" spans="1:13">
      <c r="A3" s="12" t="str">
        <f>'G-高新'!A3</f>
        <v>编制期间：2020年4月</v>
      </c>
      <c r="G3" s="13"/>
      <c r="H3" s="13"/>
      <c r="L3" s="13"/>
      <c r="M3" s="13"/>
    </row>
    <row r="4" s="4" customFormat="1" customHeight="1" spans="1:16">
      <c r="A4" s="14" t="s">
        <v>65</v>
      </c>
      <c r="B4" s="14" t="s">
        <v>66</v>
      </c>
      <c r="C4" s="15" t="s">
        <v>67</v>
      </c>
      <c r="D4" s="16" t="s">
        <v>68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45" t="s">
        <v>12</v>
      </c>
    </row>
    <row r="5" s="5" customFormat="1" spans="1:16">
      <c r="A5" s="14"/>
      <c r="B5" s="14"/>
      <c r="C5" s="15"/>
      <c r="D5" s="17" t="str">
        <f>YEAR(封面!$H$15)&amp;"年1月"</f>
        <v>2020年1月</v>
      </c>
      <c r="E5" s="17" t="str">
        <f>YEAR(封面!$H$15)&amp;"年2月"</f>
        <v>2020年2月</v>
      </c>
      <c r="F5" s="17" t="str">
        <f>YEAR(封面!$H$15)&amp;"年3月"</f>
        <v>2020年3月</v>
      </c>
      <c r="G5" s="17" t="str">
        <f>YEAR(封面!$H$15)&amp;"年4月"</f>
        <v>2020年4月</v>
      </c>
      <c r="H5" s="17" t="str">
        <f>YEAR(封面!$H$15)&amp;"年5月"</f>
        <v>2020年5月</v>
      </c>
      <c r="I5" s="17" t="str">
        <f>YEAR(封面!$H$15)&amp;"年6月"</f>
        <v>2020年6月</v>
      </c>
      <c r="J5" s="17" t="str">
        <f>YEAR(封面!$H$15)&amp;"年7月"</f>
        <v>2020年7月</v>
      </c>
      <c r="K5" s="17" t="str">
        <f>YEAR(封面!$H$15)&amp;"年8月"</f>
        <v>2020年8月</v>
      </c>
      <c r="L5" s="17" t="str">
        <f>YEAR(封面!$H$15)&amp;"年9月"</f>
        <v>2020年9月</v>
      </c>
      <c r="M5" s="17" t="str">
        <f>YEAR(封面!$H$15)&amp;"年10月"</f>
        <v>2020年10月</v>
      </c>
      <c r="N5" s="17" t="str">
        <f>YEAR(封面!$H$15)&amp;"年11月"</f>
        <v>2020年11月</v>
      </c>
      <c r="O5" s="17" t="str">
        <f>YEAR(封面!$H$15)&amp;"年12月"</f>
        <v>2020年12月</v>
      </c>
      <c r="P5" s="45"/>
    </row>
    <row r="6" s="5" customFormat="1" ht="17.25" customHeight="1" spans="1:17">
      <c r="A6" s="18" t="s">
        <v>69</v>
      </c>
      <c r="B6" s="19" t="s">
        <v>70</v>
      </c>
      <c r="C6" s="20" t="s">
        <v>70</v>
      </c>
      <c r="D6" s="21">
        <v>177720.03</v>
      </c>
      <c r="E6" s="21">
        <v>99552.83</v>
      </c>
      <c r="F6" s="21">
        <v>158898.22</v>
      </c>
      <c r="G6" s="21">
        <v>130366.96</v>
      </c>
      <c r="H6" s="21"/>
      <c r="I6" s="46"/>
      <c r="J6" s="21"/>
      <c r="K6" s="21"/>
      <c r="L6" s="21"/>
      <c r="M6" s="21"/>
      <c r="N6" s="21"/>
      <c r="O6" s="21"/>
      <c r="P6" s="47">
        <f>SUM(D6:O6)</f>
        <v>566538.04</v>
      </c>
      <c r="Q6" s="48">
        <f>P6+P7+P8+P19+P22+P23+P24+P25+P26</f>
        <v>584726.84</v>
      </c>
    </row>
    <row r="7" s="5" customFormat="1" ht="17.25" customHeight="1" spans="1:16">
      <c r="A7" s="22"/>
      <c r="B7" s="23"/>
      <c r="C7" s="20" t="s">
        <v>71</v>
      </c>
      <c r="D7" s="21"/>
      <c r="E7" s="21">
        <v>0</v>
      </c>
      <c r="F7" s="21">
        <v>0</v>
      </c>
      <c r="G7" s="21">
        <v>0</v>
      </c>
      <c r="H7" s="21"/>
      <c r="I7" s="46"/>
      <c r="J7" s="21"/>
      <c r="K7" s="21"/>
      <c r="L7" s="21"/>
      <c r="M7" s="21"/>
      <c r="N7" s="21"/>
      <c r="O7" s="21"/>
      <c r="P7" s="47">
        <f t="shared" ref="P7:P70" si="0">SUM(D7:O7)</f>
        <v>0</v>
      </c>
    </row>
    <row r="8" s="5" customFormat="1" ht="17.25" customHeight="1" spans="1:16">
      <c r="A8" s="22"/>
      <c r="B8" s="19" t="s">
        <v>72</v>
      </c>
      <c r="C8" s="20" t="s">
        <v>72</v>
      </c>
      <c r="D8" s="21"/>
      <c r="E8" s="21">
        <v>0</v>
      </c>
      <c r="F8" s="21">
        <v>0</v>
      </c>
      <c r="G8" s="21">
        <v>0</v>
      </c>
      <c r="H8" s="21"/>
      <c r="I8" s="46"/>
      <c r="J8" s="21"/>
      <c r="K8" s="21"/>
      <c r="L8" s="21"/>
      <c r="M8" s="21"/>
      <c r="N8" s="21"/>
      <c r="O8" s="21"/>
      <c r="P8" s="47">
        <f t="shared" si="0"/>
        <v>0</v>
      </c>
    </row>
    <row r="9" s="5" customFormat="1" ht="17.25" customHeight="1" spans="1:16">
      <c r="A9" s="22"/>
      <c r="B9" s="19" t="s">
        <v>73</v>
      </c>
      <c r="C9" s="20" t="s">
        <v>73</v>
      </c>
      <c r="D9" s="21"/>
      <c r="E9" s="21">
        <v>0</v>
      </c>
      <c r="F9" s="21">
        <v>0</v>
      </c>
      <c r="G9" s="21">
        <v>0</v>
      </c>
      <c r="H9" s="21"/>
      <c r="I9" s="46"/>
      <c r="J9" s="21"/>
      <c r="K9" s="21"/>
      <c r="L9" s="21"/>
      <c r="M9" s="21"/>
      <c r="N9" s="21"/>
      <c r="O9" s="21"/>
      <c r="P9" s="47">
        <f t="shared" si="0"/>
        <v>0</v>
      </c>
    </row>
    <row r="10" s="5" customFormat="1" ht="17.25" customHeight="1" spans="1:16">
      <c r="A10" s="22"/>
      <c r="B10" s="19" t="s">
        <v>74</v>
      </c>
      <c r="C10" s="20" t="s">
        <v>75</v>
      </c>
      <c r="D10" s="21"/>
      <c r="E10" s="21">
        <v>0</v>
      </c>
      <c r="F10" s="21">
        <v>0</v>
      </c>
      <c r="G10" s="21">
        <v>0</v>
      </c>
      <c r="H10" s="21"/>
      <c r="I10" s="46"/>
      <c r="J10" s="21"/>
      <c r="K10" s="21"/>
      <c r="L10" s="21"/>
      <c r="M10" s="21"/>
      <c r="N10" s="21"/>
      <c r="O10" s="21"/>
      <c r="P10" s="47">
        <f t="shared" si="0"/>
        <v>0</v>
      </c>
    </row>
    <row r="11" s="5" customFormat="1" ht="17.25" customHeight="1" spans="1:16">
      <c r="A11" s="22"/>
      <c r="B11" s="24"/>
      <c r="C11" s="25" t="s">
        <v>76</v>
      </c>
      <c r="D11" s="21"/>
      <c r="E11" s="21">
        <v>0</v>
      </c>
      <c r="F11" s="21">
        <v>0</v>
      </c>
      <c r="G11" s="21">
        <v>0</v>
      </c>
      <c r="H11" s="21"/>
      <c r="I11" s="46"/>
      <c r="J11" s="21"/>
      <c r="K11" s="21"/>
      <c r="L11" s="21"/>
      <c r="M11" s="21"/>
      <c r="N11" s="21"/>
      <c r="O11" s="21"/>
      <c r="P11" s="47">
        <f t="shared" si="0"/>
        <v>0</v>
      </c>
    </row>
    <row r="12" s="5" customFormat="1" ht="17.25" customHeight="1" spans="1:16">
      <c r="A12" s="22"/>
      <c r="B12" s="24"/>
      <c r="C12" s="20" t="s">
        <v>77</v>
      </c>
      <c r="D12" s="21"/>
      <c r="E12" s="21">
        <v>0</v>
      </c>
      <c r="F12" s="21">
        <v>0</v>
      </c>
      <c r="G12" s="21">
        <v>0</v>
      </c>
      <c r="H12" s="21"/>
      <c r="I12" s="46"/>
      <c r="J12" s="21"/>
      <c r="K12" s="21"/>
      <c r="L12" s="21"/>
      <c r="M12" s="21"/>
      <c r="N12" s="21"/>
      <c r="O12" s="21"/>
      <c r="P12" s="47">
        <f t="shared" si="0"/>
        <v>0</v>
      </c>
    </row>
    <row r="13" s="5" customFormat="1" ht="17.25" customHeight="1" spans="1:16">
      <c r="A13" s="22"/>
      <c r="B13" s="24"/>
      <c r="C13" s="25" t="s">
        <v>78</v>
      </c>
      <c r="D13" s="21"/>
      <c r="E13" s="21">
        <v>0</v>
      </c>
      <c r="F13" s="21">
        <v>0</v>
      </c>
      <c r="G13" s="21">
        <v>0</v>
      </c>
      <c r="H13" s="21"/>
      <c r="I13" s="46"/>
      <c r="J13" s="21"/>
      <c r="K13" s="21"/>
      <c r="L13" s="21"/>
      <c r="M13" s="21"/>
      <c r="N13" s="21"/>
      <c r="O13" s="21"/>
      <c r="P13" s="47">
        <f t="shared" si="0"/>
        <v>0</v>
      </c>
    </row>
    <row r="14" s="5" customFormat="1" ht="17.25" customHeight="1" spans="1:16">
      <c r="A14" s="22"/>
      <c r="B14" s="24"/>
      <c r="C14" s="20" t="s">
        <v>79</v>
      </c>
      <c r="D14" s="21"/>
      <c r="E14" s="21">
        <v>0</v>
      </c>
      <c r="F14" s="21">
        <v>0</v>
      </c>
      <c r="G14" s="21">
        <v>0</v>
      </c>
      <c r="H14" s="21"/>
      <c r="I14" s="46"/>
      <c r="J14" s="21"/>
      <c r="K14" s="21"/>
      <c r="L14" s="21"/>
      <c r="M14" s="21"/>
      <c r="N14" s="21"/>
      <c r="O14" s="21"/>
      <c r="P14" s="47">
        <f t="shared" si="0"/>
        <v>0</v>
      </c>
    </row>
    <row r="15" s="5" customFormat="1" ht="17.25" customHeight="1" spans="1:16">
      <c r="A15" s="22"/>
      <c r="B15" s="24"/>
      <c r="C15" s="25" t="s">
        <v>80</v>
      </c>
      <c r="D15" s="21"/>
      <c r="E15" s="21">
        <v>0</v>
      </c>
      <c r="F15" s="21">
        <v>0</v>
      </c>
      <c r="G15" s="21">
        <v>0</v>
      </c>
      <c r="H15" s="21"/>
      <c r="I15" s="46"/>
      <c r="J15" s="21"/>
      <c r="K15" s="21"/>
      <c r="L15" s="21"/>
      <c r="M15" s="21"/>
      <c r="N15" s="21"/>
      <c r="O15" s="21"/>
      <c r="P15" s="47">
        <f t="shared" si="0"/>
        <v>0</v>
      </c>
    </row>
    <row r="16" s="5" customFormat="1" ht="17.25" customHeight="1" spans="1:16">
      <c r="A16" s="22"/>
      <c r="B16" s="24"/>
      <c r="C16" s="25" t="s">
        <v>81</v>
      </c>
      <c r="D16" s="21"/>
      <c r="E16" s="21">
        <v>0</v>
      </c>
      <c r="F16" s="21">
        <v>0</v>
      </c>
      <c r="G16" s="21">
        <v>0</v>
      </c>
      <c r="H16" s="21"/>
      <c r="I16" s="46"/>
      <c r="J16" s="21"/>
      <c r="K16" s="21"/>
      <c r="L16" s="21"/>
      <c r="M16" s="21"/>
      <c r="N16" s="21"/>
      <c r="O16" s="21"/>
      <c r="P16" s="47">
        <f t="shared" si="0"/>
        <v>0</v>
      </c>
    </row>
    <row r="17" s="5" customFormat="1" ht="17.25" customHeight="1" spans="1:16">
      <c r="A17" s="22"/>
      <c r="B17" s="24"/>
      <c r="C17" s="25" t="s">
        <v>82</v>
      </c>
      <c r="D17" s="21"/>
      <c r="E17" s="21">
        <v>0</v>
      </c>
      <c r="F17" s="21">
        <v>0</v>
      </c>
      <c r="G17" s="21">
        <v>0</v>
      </c>
      <c r="H17" s="21"/>
      <c r="I17" s="46"/>
      <c r="J17" s="21"/>
      <c r="K17" s="21"/>
      <c r="L17" s="21"/>
      <c r="M17" s="21"/>
      <c r="N17" s="21"/>
      <c r="O17" s="21"/>
      <c r="P17" s="47">
        <f t="shared" si="0"/>
        <v>0</v>
      </c>
    </row>
    <row r="18" s="5" customFormat="1" ht="17.25" customHeight="1" spans="1:16">
      <c r="A18" s="22"/>
      <c r="B18" s="23"/>
      <c r="C18" s="25" t="s">
        <v>83</v>
      </c>
      <c r="D18" s="21"/>
      <c r="E18" s="21">
        <v>0</v>
      </c>
      <c r="F18" s="21">
        <v>0</v>
      </c>
      <c r="G18" s="21">
        <v>0</v>
      </c>
      <c r="H18" s="21"/>
      <c r="I18" s="46"/>
      <c r="J18" s="21"/>
      <c r="K18" s="21"/>
      <c r="L18" s="21"/>
      <c r="M18" s="21"/>
      <c r="N18" s="21"/>
      <c r="O18" s="21"/>
      <c r="P18" s="47">
        <f t="shared" si="0"/>
        <v>0</v>
      </c>
    </row>
    <row r="19" s="5" customFormat="1" ht="17.25" customHeight="1" spans="1:16">
      <c r="A19" s="22"/>
      <c r="B19" s="26" t="s">
        <v>84</v>
      </c>
      <c r="C19" s="25" t="s">
        <v>84</v>
      </c>
      <c r="D19" s="21"/>
      <c r="E19" s="21">
        <v>0</v>
      </c>
      <c r="F19" s="21">
        <v>0</v>
      </c>
      <c r="G19" s="21">
        <v>0</v>
      </c>
      <c r="H19" s="21"/>
      <c r="I19" s="46"/>
      <c r="J19" s="21"/>
      <c r="K19" s="21"/>
      <c r="L19" s="21"/>
      <c r="M19" s="21"/>
      <c r="N19" s="21"/>
      <c r="O19" s="21"/>
      <c r="P19" s="47">
        <f t="shared" si="0"/>
        <v>0</v>
      </c>
    </row>
    <row r="20" s="5" customFormat="1" ht="17.25" customHeight="1" spans="1:16">
      <c r="A20" s="22"/>
      <c r="B20" s="19" t="s">
        <v>85</v>
      </c>
      <c r="C20" s="20" t="s">
        <v>85</v>
      </c>
      <c r="D20" s="21"/>
      <c r="E20" s="21">
        <v>0</v>
      </c>
      <c r="F20" s="21">
        <v>0</v>
      </c>
      <c r="G20" s="21">
        <v>0</v>
      </c>
      <c r="H20" s="21"/>
      <c r="I20" s="46"/>
      <c r="J20" s="21"/>
      <c r="K20" s="21"/>
      <c r="L20" s="21"/>
      <c r="M20" s="21"/>
      <c r="N20" s="21"/>
      <c r="O20" s="21"/>
      <c r="P20" s="47">
        <f t="shared" si="0"/>
        <v>0</v>
      </c>
    </row>
    <row r="21" s="5" customFormat="1" ht="17.25" customHeight="1" spans="1:16">
      <c r="A21" s="22"/>
      <c r="B21" s="19" t="s">
        <v>86</v>
      </c>
      <c r="C21" s="20" t="s">
        <v>86</v>
      </c>
      <c r="D21" s="21"/>
      <c r="E21" s="21">
        <v>0</v>
      </c>
      <c r="F21" s="21">
        <v>0</v>
      </c>
      <c r="G21" s="21">
        <v>0</v>
      </c>
      <c r="H21" s="21"/>
      <c r="I21" s="46"/>
      <c r="J21" s="21"/>
      <c r="K21" s="21"/>
      <c r="L21" s="21"/>
      <c r="M21" s="21"/>
      <c r="N21" s="21"/>
      <c r="O21" s="21"/>
      <c r="P21" s="47">
        <f t="shared" si="0"/>
        <v>0</v>
      </c>
    </row>
    <row r="22" s="5" customFormat="1" ht="17.25" customHeight="1" spans="1:16">
      <c r="A22" s="22"/>
      <c r="B22" s="19" t="s">
        <v>87</v>
      </c>
      <c r="C22" s="25" t="s">
        <v>88</v>
      </c>
      <c r="D22" s="21">
        <v>9094.4</v>
      </c>
      <c r="E22" s="21">
        <v>9094.4</v>
      </c>
      <c r="F22" s="21">
        <v>0</v>
      </c>
      <c r="G22" s="21">
        <v>0</v>
      </c>
      <c r="H22" s="21"/>
      <c r="I22" s="46"/>
      <c r="J22" s="21"/>
      <c r="K22" s="21"/>
      <c r="L22" s="21"/>
      <c r="M22" s="21"/>
      <c r="N22" s="21"/>
      <c r="O22" s="21"/>
      <c r="P22" s="47">
        <f t="shared" si="0"/>
        <v>18188.8</v>
      </c>
    </row>
    <row r="23" s="5" customFormat="1" ht="17.25" customHeight="1" spans="1:16">
      <c r="A23" s="22"/>
      <c r="B23" s="24"/>
      <c r="C23" s="25" t="s">
        <v>89</v>
      </c>
      <c r="D23" s="21"/>
      <c r="E23" s="21">
        <v>0</v>
      </c>
      <c r="F23" s="21">
        <v>0</v>
      </c>
      <c r="G23" s="21">
        <v>0</v>
      </c>
      <c r="H23" s="21"/>
      <c r="I23" s="46"/>
      <c r="J23" s="21"/>
      <c r="K23" s="21"/>
      <c r="L23" s="21"/>
      <c r="M23" s="21"/>
      <c r="N23" s="21"/>
      <c r="O23" s="21"/>
      <c r="P23" s="47">
        <f t="shared" si="0"/>
        <v>0</v>
      </c>
    </row>
    <row r="24" s="5" customFormat="1" ht="17.25" customHeight="1" spans="1:16">
      <c r="A24" s="22"/>
      <c r="B24" s="24"/>
      <c r="C24" s="25" t="s">
        <v>90</v>
      </c>
      <c r="D24" s="21"/>
      <c r="E24" s="21">
        <v>0</v>
      </c>
      <c r="F24" s="21">
        <v>0</v>
      </c>
      <c r="G24" s="21">
        <v>0</v>
      </c>
      <c r="H24" s="21"/>
      <c r="I24" s="46"/>
      <c r="J24" s="21"/>
      <c r="K24" s="21"/>
      <c r="L24" s="21"/>
      <c r="M24" s="21"/>
      <c r="N24" s="21"/>
      <c r="O24" s="21"/>
      <c r="P24" s="47">
        <f t="shared" si="0"/>
        <v>0</v>
      </c>
    </row>
    <row r="25" s="5" customFormat="1" ht="17.25" customHeight="1" spans="1:16">
      <c r="A25" s="22"/>
      <c r="B25" s="24"/>
      <c r="C25" s="25" t="s">
        <v>91</v>
      </c>
      <c r="D25" s="21"/>
      <c r="E25" s="21">
        <v>0</v>
      </c>
      <c r="F25" s="21">
        <v>0</v>
      </c>
      <c r="G25" s="21">
        <v>0</v>
      </c>
      <c r="H25" s="21"/>
      <c r="I25" s="46"/>
      <c r="J25" s="21"/>
      <c r="K25" s="21"/>
      <c r="L25" s="21"/>
      <c r="M25" s="21"/>
      <c r="N25" s="21"/>
      <c r="O25" s="21"/>
      <c r="P25" s="47">
        <f t="shared" si="0"/>
        <v>0</v>
      </c>
    </row>
    <row r="26" s="5" customFormat="1" ht="17.25" customHeight="1" spans="1:16">
      <c r="A26" s="22"/>
      <c r="B26" s="23"/>
      <c r="C26" s="25" t="s">
        <v>92</v>
      </c>
      <c r="D26" s="21"/>
      <c r="E26" s="21">
        <v>0</v>
      </c>
      <c r="F26" s="21">
        <v>0</v>
      </c>
      <c r="G26" s="21">
        <v>0</v>
      </c>
      <c r="H26" s="21"/>
      <c r="I26" s="46"/>
      <c r="J26" s="21"/>
      <c r="K26" s="21"/>
      <c r="L26" s="21"/>
      <c r="M26" s="21"/>
      <c r="N26" s="21"/>
      <c r="O26" s="21"/>
      <c r="P26" s="47">
        <f t="shared" si="0"/>
        <v>0</v>
      </c>
    </row>
    <row r="27" s="5" customFormat="1" ht="17.25" customHeight="1" spans="1:16">
      <c r="A27" s="22"/>
      <c r="B27" s="19" t="s">
        <v>93</v>
      </c>
      <c r="C27" s="20" t="s">
        <v>93</v>
      </c>
      <c r="D27" s="21"/>
      <c r="E27" s="21">
        <v>0</v>
      </c>
      <c r="F27" s="21">
        <v>0</v>
      </c>
      <c r="G27" s="21">
        <v>0</v>
      </c>
      <c r="H27" s="21"/>
      <c r="I27" s="46"/>
      <c r="J27" s="21"/>
      <c r="K27" s="21"/>
      <c r="L27" s="21"/>
      <c r="M27" s="21"/>
      <c r="N27" s="21"/>
      <c r="O27" s="21"/>
      <c r="P27" s="47">
        <f t="shared" si="0"/>
        <v>0</v>
      </c>
    </row>
    <row r="28" s="5" customFormat="1" ht="17.25" customHeight="1" spans="1:16">
      <c r="A28" s="27" t="s">
        <v>94</v>
      </c>
      <c r="B28" s="19" t="s">
        <v>95</v>
      </c>
      <c r="C28" s="25" t="s">
        <v>96</v>
      </c>
      <c r="D28" s="21"/>
      <c r="E28" s="21">
        <v>0</v>
      </c>
      <c r="F28" s="21">
        <v>0</v>
      </c>
      <c r="G28" s="21">
        <v>0</v>
      </c>
      <c r="H28" s="21"/>
      <c r="I28" s="46"/>
      <c r="J28" s="21"/>
      <c r="K28" s="21"/>
      <c r="L28" s="21"/>
      <c r="M28" s="21"/>
      <c r="N28" s="21"/>
      <c r="O28" s="21"/>
      <c r="P28" s="47">
        <f t="shared" si="0"/>
        <v>0</v>
      </c>
    </row>
    <row r="29" s="5" customFormat="1" ht="17.25" customHeight="1" spans="1:16">
      <c r="A29" s="28"/>
      <c r="B29" s="23"/>
      <c r="C29" s="20" t="s">
        <v>97</v>
      </c>
      <c r="D29" s="21">
        <v>1398.06</v>
      </c>
      <c r="E29" s="21">
        <v>0</v>
      </c>
      <c r="F29" s="21">
        <v>0</v>
      </c>
      <c r="G29" s="21">
        <v>0</v>
      </c>
      <c r="H29" s="21"/>
      <c r="I29" s="46"/>
      <c r="J29" s="21"/>
      <c r="K29" s="21"/>
      <c r="L29" s="21"/>
      <c r="M29" s="21"/>
      <c r="N29" s="21"/>
      <c r="O29" s="21"/>
      <c r="P29" s="47">
        <f t="shared" si="0"/>
        <v>1398.06</v>
      </c>
    </row>
    <row r="30" s="5" customFormat="1" ht="17.25" customHeight="1" spans="1:16">
      <c r="A30" s="28"/>
      <c r="B30" s="26" t="s">
        <v>98</v>
      </c>
      <c r="C30" s="25" t="s">
        <v>98</v>
      </c>
      <c r="D30" s="21"/>
      <c r="E30" s="21">
        <v>0</v>
      </c>
      <c r="F30" s="21">
        <v>0</v>
      </c>
      <c r="G30" s="21">
        <v>0</v>
      </c>
      <c r="H30" s="21"/>
      <c r="I30" s="46"/>
      <c r="J30" s="21"/>
      <c r="K30" s="21"/>
      <c r="L30" s="21"/>
      <c r="M30" s="21"/>
      <c r="N30" s="21"/>
      <c r="O30" s="21"/>
      <c r="P30" s="47">
        <f t="shared" si="0"/>
        <v>0</v>
      </c>
    </row>
    <row r="31" s="5" customFormat="1" ht="17.25" customHeight="1" spans="1:16">
      <c r="A31" s="28"/>
      <c r="B31" s="19" t="s">
        <v>99</v>
      </c>
      <c r="C31" s="25" t="s">
        <v>100</v>
      </c>
      <c r="D31" s="21"/>
      <c r="E31" s="21">
        <v>0</v>
      </c>
      <c r="F31" s="21">
        <v>0</v>
      </c>
      <c r="G31" s="21">
        <v>0</v>
      </c>
      <c r="H31" s="21"/>
      <c r="I31" s="46"/>
      <c r="J31" s="21"/>
      <c r="K31" s="21"/>
      <c r="L31" s="21"/>
      <c r="M31" s="21"/>
      <c r="N31" s="21"/>
      <c r="O31" s="21"/>
      <c r="P31" s="47">
        <f t="shared" si="0"/>
        <v>0</v>
      </c>
    </row>
    <row r="32" s="5" customFormat="1" ht="17.25" customHeight="1" spans="1:16">
      <c r="A32" s="28"/>
      <c r="B32" s="24"/>
      <c r="C32" s="25" t="s">
        <v>101</v>
      </c>
      <c r="D32" s="21"/>
      <c r="E32" s="21">
        <v>0</v>
      </c>
      <c r="F32" s="21">
        <v>0</v>
      </c>
      <c r="G32" s="21">
        <v>0</v>
      </c>
      <c r="H32" s="21"/>
      <c r="I32" s="46"/>
      <c r="J32" s="21"/>
      <c r="K32" s="21"/>
      <c r="L32" s="21"/>
      <c r="M32" s="21"/>
      <c r="N32" s="21"/>
      <c r="O32" s="21"/>
      <c r="P32" s="47">
        <f t="shared" si="0"/>
        <v>0</v>
      </c>
    </row>
    <row r="33" s="5" customFormat="1" ht="17.25" customHeight="1" spans="1:16">
      <c r="A33" s="28"/>
      <c r="B33" s="23"/>
      <c r="C33" s="20" t="s">
        <v>102</v>
      </c>
      <c r="D33" s="21"/>
      <c r="E33" s="21">
        <v>0</v>
      </c>
      <c r="F33" s="21">
        <v>0</v>
      </c>
      <c r="G33" s="21">
        <v>0</v>
      </c>
      <c r="H33" s="21"/>
      <c r="I33" s="46"/>
      <c r="J33" s="21"/>
      <c r="K33" s="21"/>
      <c r="L33" s="21"/>
      <c r="M33" s="21"/>
      <c r="N33" s="21"/>
      <c r="O33" s="21"/>
      <c r="P33" s="47">
        <f t="shared" si="0"/>
        <v>0</v>
      </c>
    </row>
    <row r="34" s="5" customFormat="1" ht="17.25" customHeight="1" spans="1:16">
      <c r="A34" s="28"/>
      <c r="B34" s="19" t="s">
        <v>103</v>
      </c>
      <c r="C34" s="25" t="s">
        <v>104</v>
      </c>
      <c r="D34" s="21"/>
      <c r="E34" s="21">
        <v>0</v>
      </c>
      <c r="F34" s="21">
        <v>0</v>
      </c>
      <c r="G34" s="21">
        <v>0</v>
      </c>
      <c r="H34" s="21"/>
      <c r="I34" s="46"/>
      <c r="J34" s="21"/>
      <c r="K34" s="21"/>
      <c r="L34" s="21"/>
      <c r="M34" s="21"/>
      <c r="N34" s="21"/>
      <c r="O34" s="21"/>
      <c r="P34" s="47">
        <f t="shared" si="0"/>
        <v>0</v>
      </c>
    </row>
    <row r="35" s="5" customFormat="1" ht="17.25" customHeight="1" spans="1:16">
      <c r="A35" s="28"/>
      <c r="B35" s="23"/>
      <c r="C35" s="25" t="s">
        <v>105</v>
      </c>
      <c r="D35" s="21"/>
      <c r="E35" s="21">
        <v>0</v>
      </c>
      <c r="F35" s="21">
        <v>0</v>
      </c>
      <c r="G35" s="21">
        <v>0</v>
      </c>
      <c r="H35" s="21"/>
      <c r="I35" s="46"/>
      <c r="J35" s="21"/>
      <c r="K35" s="21"/>
      <c r="L35" s="21"/>
      <c r="M35" s="21"/>
      <c r="N35" s="21"/>
      <c r="O35" s="21"/>
      <c r="P35" s="47">
        <f t="shared" si="0"/>
        <v>0</v>
      </c>
    </row>
    <row r="36" s="5" customFormat="1" ht="17.25" customHeight="1" spans="1:16">
      <c r="A36" s="28"/>
      <c r="B36" s="26" t="s">
        <v>106</v>
      </c>
      <c r="C36" s="25" t="s">
        <v>106</v>
      </c>
      <c r="D36" s="21"/>
      <c r="E36" s="21">
        <v>0</v>
      </c>
      <c r="F36" s="21">
        <v>0</v>
      </c>
      <c r="G36" s="21">
        <v>0</v>
      </c>
      <c r="H36" s="21"/>
      <c r="I36" s="46"/>
      <c r="J36" s="21"/>
      <c r="K36" s="21"/>
      <c r="L36" s="21"/>
      <c r="M36" s="21"/>
      <c r="N36" s="21"/>
      <c r="O36" s="21"/>
      <c r="P36" s="47">
        <f t="shared" si="0"/>
        <v>0</v>
      </c>
    </row>
    <row r="37" s="5" customFormat="1" ht="28.5" customHeight="1" spans="1:16">
      <c r="A37" s="28"/>
      <c r="B37" s="26" t="s">
        <v>107</v>
      </c>
      <c r="C37" s="25" t="s">
        <v>107</v>
      </c>
      <c r="D37" s="21"/>
      <c r="E37" s="21">
        <v>0</v>
      </c>
      <c r="F37" s="21">
        <v>0</v>
      </c>
      <c r="G37" s="21">
        <v>0</v>
      </c>
      <c r="H37" s="21"/>
      <c r="I37" s="46"/>
      <c r="J37" s="21"/>
      <c r="K37" s="21"/>
      <c r="L37" s="21"/>
      <c r="M37" s="21"/>
      <c r="N37" s="21"/>
      <c r="O37" s="21"/>
      <c r="P37" s="47">
        <f t="shared" si="0"/>
        <v>0</v>
      </c>
    </row>
    <row r="38" s="5" customFormat="1" ht="17.25" customHeight="1" spans="1:16">
      <c r="A38" s="28"/>
      <c r="B38" s="19" t="s">
        <v>108</v>
      </c>
      <c r="C38" s="25" t="s">
        <v>109</v>
      </c>
      <c r="D38" s="21"/>
      <c r="E38" s="21">
        <v>0</v>
      </c>
      <c r="F38" s="21">
        <v>0</v>
      </c>
      <c r="G38" s="21">
        <v>0</v>
      </c>
      <c r="H38" s="21"/>
      <c r="I38" s="46"/>
      <c r="J38" s="21"/>
      <c r="K38" s="21"/>
      <c r="L38" s="21"/>
      <c r="M38" s="21"/>
      <c r="N38" s="21"/>
      <c r="O38" s="21"/>
      <c r="P38" s="47">
        <f t="shared" si="0"/>
        <v>0</v>
      </c>
    </row>
    <row r="39" s="5" customFormat="1" ht="17.25" customHeight="1" spans="1:16">
      <c r="A39" s="28"/>
      <c r="B39" s="23"/>
      <c r="C39" s="25" t="s">
        <v>110</v>
      </c>
      <c r="D39" s="21"/>
      <c r="E39" s="21">
        <v>0</v>
      </c>
      <c r="F39" s="21">
        <v>0</v>
      </c>
      <c r="G39" s="21">
        <v>0</v>
      </c>
      <c r="H39" s="21"/>
      <c r="I39" s="46"/>
      <c r="J39" s="21"/>
      <c r="K39" s="21"/>
      <c r="L39" s="21"/>
      <c r="M39" s="21"/>
      <c r="N39" s="21"/>
      <c r="O39" s="21"/>
      <c r="P39" s="47">
        <f t="shared" si="0"/>
        <v>0</v>
      </c>
    </row>
    <row r="40" s="5" customFormat="1" ht="17.25" customHeight="1" spans="1:16">
      <c r="A40" s="28"/>
      <c r="B40" s="26" t="s">
        <v>111</v>
      </c>
      <c r="C40" s="25" t="s">
        <v>111</v>
      </c>
      <c r="D40" s="21"/>
      <c r="E40" s="21">
        <v>0</v>
      </c>
      <c r="F40" s="21">
        <v>0</v>
      </c>
      <c r="G40" s="21">
        <v>0</v>
      </c>
      <c r="H40" s="21"/>
      <c r="I40" s="46"/>
      <c r="J40" s="21"/>
      <c r="K40" s="21"/>
      <c r="L40" s="21"/>
      <c r="M40" s="21"/>
      <c r="N40" s="21"/>
      <c r="O40" s="21"/>
      <c r="P40" s="47">
        <f t="shared" si="0"/>
        <v>0</v>
      </c>
    </row>
    <row r="41" s="5" customFormat="1" ht="24.75" customHeight="1" spans="1:16">
      <c r="A41" s="29" t="s">
        <v>112</v>
      </c>
      <c r="B41" s="30" t="s">
        <v>113</v>
      </c>
      <c r="C41" s="20" t="s">
        <v>113</v>
      </c>
      <c r="D41" s="21"/>
      <c r="E41" s="21">
        <v>0</v>
      </c>
      <c r="F41" s="21">
        <v>0</v>
      </c>
      <c r="G41" s="21">
        <v>0</v>
      </c>
      <c r="H41" s="21"/>
      <c r="I41" s="46"/>
      <c r="J41" s="21"/>
      <c r="K41" s="21"/>
      <c r="L41" s="21"/>
      <c r="M41" s="21"/>
      <c r="N41" s="21"/>
      <c r="O41" s="21"/>
      <c r="P41" s="47">
        <f t="shared" si="0"/>
        <v>0</v>
      </c>
    </row>
    <row r="42" s="5" customFormat="1" ht="17.25" customHeight="1" spans="1:16">
      <c r="A42" s="31"/>
      <c r="B42" s="19" t="s">
        <v>114</v>
      </c>
      <c r="C42" s="32" t="s">
        <v>114</v>
      </c>
      <c r="D42" s="21">
        <v>4195.66</v>
      </c>
      <c r="E42" s="21">
        <v>0</v>
      </c>
      <c r="F42" s="21">
        <v>7648.56</v>
      </c>
      <c r="G42" s="21">
        <v>10927.08</v>
      </c>
      <c r="H42" s="21"/>
      <c r="I42" s="46"/>
      <c r="J42" s="21"/>
      <c r="K42" s="21"/>
      <c r="L42" s="21"/>
      <c r="M42" s="21"/>
      <c r="N42" s="21"/>
      <c r="O42" s="21"/>
      <c r="P42" s="47">
        <f t="shared" si="0"/>
        <v>22771.3</v>
      </c>
    </row>
    <row r="43" s="5" customFormat="1" ht="17.25" customHeight="1" spans="1:16">
      <c r="A43" s="31"/>
      <c r="B43" s="19" t="s">
        <v>115</v>
      </c>
      <c r="C43" s="32" t="s">
        <v>115</v>
      </c>
      <c r="D43" s="21"/>
      <c r="E43" s="21">
        <v>0</v>
      </c>
      <c r="F43" s="21">
        <v>0</v>
      </c>
      <c r="G43" s="21">
        <v>0</v>
      </c>
      <c r="H43" s="21"/>
      <c r="I43" s="46"/>
      <c r="J43" s="21"/>
      <c r="K43" s="21"/>
      <c r="L43" s="21"/>
      <c r="M43" s="21"/>
      <c r="N43" s="21"/>
      <c r="O43" s="21"/>
      <c r="P43" s="47">
        <f t="shared" si="0"/>
        <v>0</v>
      </c>
    </row>
    <row r="44" s="5" customFormat="1" ht="17.25" customHeight="1" spans="1:16">
      <c r="A44" s="31"/>
      <c r="B44" s="19" t="s">
        <v>116</v>
      </c>
      <c r="C44" s="32" t="s">
        <v>117</v>
      </c>
      <c r="D44" s="21"/>
      <c r="E44" s="21">
        <v>0</v>
      </c>
      <c r="F44" s="21">
        <v>0</v>
      </c>
      <c r="G44" s="21">
        <v>0</v>
      </c>
      <c r="H44" s="21"/>
      <c r="I44" s="46"/>
      <c r="J44" s="21"/>
      <c r="K44" s="21"/>
      <c r="L44" s="21"/>
      <c r="M44" s="21"/>
      <c r="N44" s="21"/>
      <c r="O44" s="21"/>
      <c r="P44" s="47">
        <f t="shared" si="0"/>
        <v>0</v>
      </c>
    </row>
    <row r="45" s="5" customFormat="1" ht="17.25" customHeight="1" spans="1:16">
      <c r="A45" s="31"/>
      <c r="B45" s="23"/>
      <c r="C45" s="32" t="s">
        <v>118</v>
      </c>
      <c r="D45" s="21"/>
      <c r="E45" s="21">
        <v>0</v>
      </c>
      <c r="F45" s="21">
        <v>0</v>
      </c>
      <c r="G45" s="21">
        <v>0</v>
      </c>
      <c r="H45" s="21"/>
      <c r="I45" s="46"/>
      <c r="J45" s="21"/>
      <c r="K45" s="21"/>
      <c r="L45" s="21"/>
      <c r="M45" s="21"/>
      <c r="N45" s="21"/>
      <c r="O45" s="21"/>
      <c r="P45" s="47">
        <f t="shared" si="0"/>
        <v>0</v>
      </c>
    </row>
    <row r="46" s="5" customFormat="1" ht="17.25" customHeight="1" spans="1:16">
      <c r="A46" s="31"/>
      <c r="B46" s="26" t="s">
        <v>119</v>
      </c>
      <c r="C46" s="33" t="s">
        <v>119</v>
      </c>
      <c r="D46" s="21">
        <v>59918.63</v>
      </c>
      <c r="E46" s="21">
        <v>81723.79</v>
      </c>
      <c r="F46" s="21">
        <v>81769.5</v>
      </c>
      <c r="G46" s="21">
        <v>81770.06</v>
      </c>
      <c r="H46" s="21"/>
      <c r="I46" s="46"/>
      <c r="J46" s="21"/>
      <c r="K46" s="21"/>
      <c r="L46" s="21"/>
      <c r="M46" s="21"/>
      <c r="N46" s="21"/>
      <c r="O46" s="21"/>
      <c r="P46" s="47">
        <f t="shared" si="0"/>
        <v>305181.98</v>
      </c>
    </row>
    <row r="47" s="5" customFormat="1" ht="17.25" customHeight="1" spans="1:16">
      <c r="A47" s="31"/>
      <c r="B47" s="26" t="s">
        <v>120</v>
      </c>
      <c r="C47" s="33" t="s">
        <v>120</v>
      </c>
      <c r="D47" s="21"/>
      <c r="E47" s="21">
        <v>0</v>
      </c>
      <c r="F47" s="21">
        <v>0</v>
      </c>
      <c r="G47" s="21">
        <v>0</v>
      </c>
      <c r="H47" s="21"/>
      <c r="I47" s="46"/>
      <c r="J47" s="21"/>
      <c r="K47" s="21"/>
      <c r="L47" s="21"/>
      <c r="M47" s="21"/>
      <c r="N47" s="21"/>
      <c r="O47" s="21"/>
      <c r="P47" s="47">
        <f t="shared" si="0"/>
        <v>0</v>
      </c>
    </row>
    <row r="48" s="5" customFormat="1" ht="17.25" customHeight="1" spans="1:16">
      <c r="A48" s="31"/>
      <c r="B48" s="34" t="s">
        <v>121</v>
      </c>
      <c r="C48" s="35" t="s">
        <v>121</v>
      </c>
      <c r="D48" s="21"/>
      <c r="E48" s="21">
        <v>0</v>
      </c>
      <c r="F48" s="21">
        <v>16344</v>
      </c>
      <c r="G48" s="21">
        <v>16344</v>
      </c>
      <c r="H48" s="21"/>
      <c r="I48" s="46"/>
      <c r="J48" s="21"/>
      <c r="K48" s="21"/>
      <c r="L48" s="21"/>
      <c r="M48" s="21"/>
      <c r="N48" s="21"/>
      <c r="O48" s="21"/>
      <c r="P48" s="47">
        <f t="shared" si="0"/>
        <v>32688</v>
      </c>
    </row>
    <row r="49" s="5" customFormat="1" ht="17.25" customHeight="1" spans="1:16">
      <c r="A49" s="36" t="s">
        <v>122</v>
      </c>
      <c r="B49" s="37" t="s">
        <v>123</v>
      </c>
      <c r="C49" s="33" t="s">
        <v>124</v>
      </c>
      <c r="D49" s="21"/>
      <c r="E49" s="21">
        <v>0</v>
      </c>
      <c r="F49" s="21">
        <v>0</v>
      </c>
      <c r="G49" s="21">
        <v>0</v>
      </c>
      <c r="H49" s="21"/>
      <c r="I49" s="46"/>
      <c r="J49" s="21"/>
      <c r="K49" s="21"/>
      <c r="L49" s="21"/>
      <c r="M49" s="21"/>
      <c r="N49" s="21"/>
      <c r="O49" s="21"/>
      <c r="P49" s="47">
        <f t="shared" si="0"/>
        <v>0</v>
      </c>
    </row>
    <row r="50" s="5" customFormat="1" ht="17.25" customHeight="1" spans="1:16">
      <c r="A50" s="36"/>
      <c r="B50" s="38"/>
      <c r="C50" s="33" t="s">
        <v>125</v>
      </c>
      <c r="D50" s="21"/>
      <c r="E50" s="21">
        <v>0</v>
      </c>
      <c r="F50" s="21">
        <v>0</v>
      </c>
      <c r="G50" s="21">
        <v>0</v>
      </c>
      <c r="H50" s="21"/>
      <c r="I50" s="46"/>
      <c r="J50" s="21"/>
      <c r="K50" s="21"/>
      <c r="L50" s="21"/>
      <c r="M50" s="21"/>
      <c r="N50" s="21"/>
      <c r="O50" s="21"/>
      <c r="P50" s="47">
        <f t="shared" si="0"/>
        <v>0</v>
      </c>
    </row>
    <row r="51" s="5" customFormat="1" ht="17.25" customHeight="1" spans="1:16">
      <c r="A51" s="36"/>
      <c r="B51" s="39"/>
      <c r="C51" s="33" t="s">
        <v>83</v>
      </c>
      <c r="D51" s="21"/>
      <c r="E51" s="21">
        <v>0</v>
      </c>
      <c r="F51" s="21">
        <v>0</v>
      </c>
      <c r="G51" s="21">
        <v>0</v>
      </c>
      <c r="H51" s="21"/>
      <c r="I51" s="46"/>
      <c r="J51" s="21"/>
      <c r="K51" s="21"/>
      <c r="L51" s="21"/>
      <c r="M51" s="21"/>
      <c r="N51" s="21"/>
      <c r="O51" s="21"/>
      <c r="P51" s="47">
        <f t="shared" si="0"/>
        <v>0</v>
      </c>
    </row>
    <row r="52" s="5" customFormat="1" ht="17.25" customHeight="1" spans="1:16">
      <c r="A52" s="36"/>
      <c r="B52" s="19" t="s">
        <v>126</v>
      </c>
      <c r="C52" s="33" t="s">
        <v>127</v>
      </c>
      <c r="D52" s="21"/>
      <c r="E52" s="21">
        <v>0</v>
      </c>
      <c r="F52" s="21">
        <v>0</v>
      </c>
      <c r="G52" s="21">
        <v>0</v>
      </c>
      <c r="H52" s="21"/>
      <c r="I52" s="46"/>
      <c r="J52" s="21"/>
      <c r="K52" s="21"/>
      <c r="L52" s="21"/>
      <c r="M52" s="21"/>
      <c r="N52" s="21"/>
      <c r="O52" s="21"/>
      <c r="P52" s="47">
        <f t="shared" si="0"/>
        <v>0</v>
      </c>
    </row>
    <row r="53" s="5" customFormat="1" ht="17.25" customHeight="1" spans="1:16">
      <c r="A53" s="36"/>
      <c r="B53" s="24"/>
      <c r="C53" s="33" t="s">
        <v>128</v>
      </c>
      <c r="D53" s="21"/>
      <c r="E53" s="21">
        <v>0</v>
      </c>
      <c r="F53" s="21">
        <v>0</v>
      </c>
      <c r="G53" s="21">
        <v>0</v>
      </c>
      <c r="H53" s="21"/>
      <c r="I53" s="46"/>
      <c r="J53" s="21"/>
      <c r="K53" s="21"/>
      <c r="L53" s="21"/>
      <c r="M53" s="21"/>
      <c r="N53" s="21"/>
      <c r="O53" s="21"/>
      <c r="P53" s="47">
        <f t="shared" si="0"/>
        <v>0</v>
      </c>
    </row>
    <row r="54" s="5" customFormat="1" ht="17.25" customHeight="1" spans="1:16">
      <c r="A54" s="36"/>
      <c r="B54" s="23"/>
      <c r="C54" s="33" t="s">
        <v>83</v>
      </c>
      <c r="D54" s="21"/>
      <c r="E54" s="21">
        <v>0</v>
      </c>
      <c r="F54" s="21">
        <v>0</v>
      </c>
      <c r="G54" s="21">
        <v>0</v>
      </c>
      <c r="H54" s="21"/>
      <c r="I54" s="46"/>
      <c r="J54" s="21"/>
      <c r="K54" s="21"/>
      <c r="L54" s="21"/>
      <c r="M54" s="21"/>
      <c r="N54" s="21"/>
      <c r="O54" s="21"/>
      <c r="P54" s="47">
        <f t="shared" si="0"/>
        <v>0</v>
      </c>
    </row>
    <row r="55" s="5" customFormat="1" ht="17.25" customHeight="1" spans="1:16">
      <c r="A55" s="36"/>
      <c r="B55" s="40" t="s">
        <v>129</v>
      </c>
      <c r="C55" s="33" t="s">
        <v>129</v>
      </c>
      <c r="D55" s="21"/>
      <c r="E55" s="21">
        <v>0</v>
      </c>
      <c r="F55" s="21">
        <v>0</v>
      </c>
      <c r="G55" s="21">
        <v>0</v>
      </c>
      <c r="H55" s="21"/>
      <c r="I55" s="46"/>
      <c r="J55" s="21"/>
      <c r="K55" s="21"/>
      <c r="L55" s="21"/>
      <c r="M55" s="21"/>
      <c r="N55" s="21"/>
      <c r="O55" s="21"/>
      <c r="P55" s="47">
        <f t="shared" si="0"/>
        <v>0</v>
      </c>
    </row>
    <row r="56" s="5" customFormat="1" ht="17.25" customHeight="1" spans="1:16">
      <c r="A56" s="36"/>
      <c r="B56" s="40" t="s">
        <v>130</v>
      </c>
      <c r="C56" s="33" t="s">
        <v>130</v>
      </c>
      <c r="D56" s="21"/>
      <c r="E56" s="21">
        <v>0</v>
      </c>
      <c r="F56" s="21">
        <v>0</v>
      </c>
      <c r="G56" s="21">
        <v>0</v>
      </c>
      <c r="H56" s="21"/>
      <c r="I56" s="46"/>
      <c r="J56" s="21"/>
      <c r="K56" s="21"/>
      <c r="L56" s="21"/>
      <c r="M56" s="21"/>
      <c r="N56" s="21"/>
      <c r="O56" s="21"/>
      <c r="P56" s="47">
        <f t="shared" si="0"/>
        <v>0</v>
      </c>
    </row>
    <row r="57" s="5" customFormat="1" ht="17.25" customHeight="1" spans="1:16">
      <c r="A57" s="41" t="s">
        <v>131</v>
      </c>
      <c r="B57" s="26" t="s">
        <v>132</v>
      </c>
      <c r="C57" s="33" t="s">
        <v>132</v>
      </c>
      <c r="D57" s="21"/>
      <c r="E57" s="21">
        <v>0</v>
      </c>
      <c r="F57" s="21">
        <v>0</v>
      </c>
      <c r="G57" s="21">
        <v>0</v>
      </c>
      <c r="H57" s="21"/>
      <c r="I57" s="46"/>
      <c r="J57" s="21"/>
      <c r="K57" s="21"/>
      <c r="L57" s="21"/>
      <c r="M57" s="21"/>
      <c r="N57" s="21"/>
      <c r="O57" s="21"/>
      <c r="P57" s="47">
        <f t="shared" si="0"/>
        <v>0</v>
      </c>
    </row>
    <row r="58" s="5" customFormat="1" ht="17.25" customHeight="1" spans="1:16">
      <c r="A58" s="41"/>
      <c r="B58" s="37" t="s">
        <v>133</v>
      </c>
      <c r="C58" s="33" t="s">
        <v>133</v>
      </c>
      <c r="D58" s="21"/>
      <c r="E58" s="21">
        <v>0</v>
      </c>
      <c r="F58" s="21">
        <v>0</v>
      </c>
      <c r="G58" s="21">
        <v>0</v>
      </c>
      <c r="H58" s="21"/>
      <c r="I58" s="46"/>
      <c r="J58" s="21"/>
      <c r="K58" s="21"/>
      <c r="L58" s="21"/>
      <c r="M58" s="21"/>
      <c r="N58" s="21"/>
      <c r="O58" s="21"/>
      <c r="P58" s="47">
        <f t="shared" si="0"/>
        <v>0</v>
      </c>
    </row>
    <row r="59" s="5" customFormat="1" ht="17.25" customHeight="1" spans="1:16">
      <c r="A59" s="41"/>
      <c r="B59" s="37" t="s">
        <v>134</v>
      </c>
      <c r="C59" s="33" t="s">
        <v>135</v>
      </c>
      <c r="D59" s="21"/>
      <c r="E59" s="21">
        <v>0</v>
      </c>
      <c r="F59" s="21">
        <v>0</v>
      </c>
      <c r="G59" s="21">
        <v>0</v>
      </c>
      <c r="H59" s="21"/>
      <c r="I59" s="46"/>
      <c r="J59" s="21"/>
      <c r="K59" s="21"/>
      <c r="L59" s="21"/>
      <c r="M59" s="21"/>
      <c r="N59" s="21"/>
      <c r="O59" s="21"/>
      <c r="P59" s="47">
        <f t="shared" si="0"/>
        <v>0</v>
      </c>
    </row>
    <row r="60" s="5" customFormat="1" ht="17.25" customHeight="1" spans="1:16">
      <c r="A60" s="41"/>
      <c r="B60" s="39"/>
      <c r="C60" s="33" t="s">
        <v>83</v>
      </c>
      <c r="D60" s="21"/>
      <c r="E60" s="21">
        <v>0</v>
      </c>
      <c r="F60" s="21">
        <v>0</v>
      </c>
      <c r="G60" s="21">
        <v>0</v>
      </c>
      <c r="H60" s="21"/>
      <c r="I60" s="46"/>
      <c r="J60" s="21"/>
      <c r="K60" s="21"/>
      <c r="L60" s="21"/>
      <c r="M60" s="21"/>
      <c r="N60" s="21"/>
      <c r="O60" s="21"/>
      <c r="P60" s="47">
        <f t="shared" si="0"/>
        <v>0</v>
      </c>
    </row>
    <row r="61" s="5" customFormat="1" ht="17.25" customHeight="1" spans="1:16">
      <c r="A61" s="41"/>
      <c r="B61" s="40" t="s">
        <v>136</v>
      </c>
      <c r="C61" s="33" t="s">
        <v>136</v>
      </c>
      <c r="D61" s="21"/>
      <c r="E61" s="21">
        <v>0</v>
      </c>
      <c r="F61" s="21">
        <v>0</v>
      </c>
      <c r="G61" s="21">
        <v>0</v>
      </c>
      <c r="H61" s="21"/>
      <c r="I61" s="46"/>
      <c r="J61" s="21"/>
      <c r="K61" s="21"/>
      <c r="L61" s="21"/>
      <c r="M61" s="21"/>
      <c r="N61" s="21"/>
      <c r="O61" s="21"/>
      <c r="P61" s="47">
        <f t="shared" si="0"/>
        <v>0</v>
      </c>
    </row>
    <row r="62" s="5" customFormat="1" ht="17.25" customHeight="1" spans="1:16">
      <c r="A62" s="41"/>
      <c r="B62" s="26" t="s">
        <v>137</v>
      </c>
      <c r="C62" s="33" t="s">
        <v>137</v>
      </c>
      <c r="D62" s="21"/>
      <c r="E62" s="21">
        <v>0</v>
      </c>
      <c r="F62" s="21">
        <v>0</v>
      </c>
      <c r="G62" s="21">
        <v>0</v>
      </c>
      <c r="H62" s="21"/>
      <c r="I62" s="46"/>
      <c r="J62" s="21"/>
      <c r="K62" s="21"/>
      <c r="L62" s="21"/>
      <c r="M62" s="21"/>
      <c r="N62" s="21"/>
      <c r="O62" s="21"/>
      <c r="P62" s="47">
        <f t="shared" si="0"/>
        <v>0</v>
      </c>
    </row>
    <row r="63" s="5" customFormat="1" ht="17.25" customHeight="1" spans="1:16">
      <c r="A63" s="42" t="s">
        <v>138</v>
      </c>
      <c r="B63" s="43" t="s">
        <v>139</v>
      </c>
      <c r="C63" s="33" t="s">
        <v>139</v>
      </c>
      <c r="D63" s="21"/>
      <c r="E63" s="21">
        <v>0</v>
      </c>
      <c r="F63" s="21">
        <v>0</v>
      </c>
      <c r="G63" s="21">
        <v>0</v>
      </c>
      <c r="H63" s="21"/>
      <c r="I63" s="46"/>
      <c r="J63" s="21"/>
      <c r="K63" s="21"/>
      <c r="L63" s="21"/>
      <c r="M63" s="21"/>
      <c r="N63" s="21"/>
      <c r="O63" s="21"/>
      <c r="P63" s="47">
        <f t="shared" si="0"/>
        <v>0</v>
      </c>
    </row>
    <row r="64" s="5" customFormat="1" ht="17.25" customHeight="1" spans="1:16">
      <c r="A64" s="42"/>
      <c r="B64" s="43" t="s">
        <v>140</v>
      </c>
      <c r="C64" s="33" t="s">
        <v>140</v>
      </c>
      <c r="D64" s="21"/>
      <c r="E64" s="21">
        <v>0</v>
      </c>
      <c r="F64" s="21">
        <v>0</v>
      </c>
      <c r="G64" s="21">
        <v>0</v>
      </c>
      <c r="H64" s="21"/>
      <c r="I64" s="46"/>
      <c r="J64" s="21"/>
      <c r="K64" s="21"/>
      <c r="L64" s="21"/>
      <c r="M64" s="21"/>
      <c r="N64" s="21"/>
      <c r="O64" s="21"/>
      <c r="P64" s="47">
        <f t="shared" si="0"/>
        <v>0</v>
      </c>
    </row>
    <row r="65" s="5" customFormat="1" ht="17.25" customHeight="1" spans="1:16">
      <c r="A65" s="42"/>
      <c r="B65" s="43" t="s">
        <v>141</v>
      </c>
      <c r="C65" s="33" t="s">
        <v>141</v>
      </c>
      <c r="D65" s="21">
        <v>31646.42</v>
      </c>
      <c r="E65" s="21">
        <v>44808.95</v>
      </c>
      <c r="F65" s="21">
        <v>27544.51</v>
      </c>
      <c r="G65" s="21">
        <v>27544.51</v>
      </c>
      <c r="H65" s="21"/>
      <c r="I65" s="46"/>
      <c r="J65" s="21"/>
      <c r="K65" s="21"/>
      <c r="L65" s="21"/>
      <c r="M65" s="21"/>
      <c r="N65" s="21"/>
      <c r="O65" s="21"/>
      <c r="P65" s="47">
        <f t="shared" si="0"/>
        <v>131544.39</v>
      </c>
    </row>
    <row r="66" s="5" customFormat="1" ht="17.25" customHeight="1" spans="1:16">
      <c r="A66" s="42"/>
      <c r="B66" s="43" t="s">
        <v>142</v>
      </c>
      <c r="C66" s="33" t="s">
        <v>142</v>
      </c>
      <c r="D66" s="21"/>
      <c r="E66" s="21">
        <v>0</v>
      </c>
      <c r="F66" s="21">
        <v>0</v>
      </c>
      <c r="G66" s="21">
        <v>0</v>
      </c>
      <c r="H66" s="21"/>
      <c r="I66" s="46"/>
      <c r="J66" s="21"/>
      <c r="K66" s="21"/>
      <c r="L66" s="21"/>
      <c r="M66" s="21"/>
      <c r="N66" s="21"/>
      <c r="O66" s="21"/>
      <c r="P66" s="47">
        <f t="shared" si="0"/>
        <v>0</v>
      </c>
    </row>
    <row r="67" s="5" customFormat="1" ht="17.25" customHeight="1" spans="1:16">
      <c r="A67" s="42"/>
      <c r="B67" s="43" t="s">
        <v>143</v>
      </c>
      <c r="C67" s="33" t="s">
        <v>143</v>
      </c>
      <c r="D67" s="21"/>
      <c r="E67" s="21">
        <v>0</v>
      </c>
      <c r="F67" s="21">
        <v>0</v>
      </c>
      <c r="G67" s="21">
        <v>0</v>
      </c>
      <c r="H67" s="21"/>
      <c r="I67" s="46"/>
      <c r="J67" s="21"/>
      <c r="K67" s="21"/>
      <c r="L67" s="21"/>
      <c r="M67" s="21"/>
      <c r="N67" s="21"/>
      <c r="O67" s="21"/>
      <c r="P67" s="47">
        <f t="shared" si="0"/>
        <v>0</v>
      </c>
    </row>
    <row r="68" s="5" customFormat="1" ht="17.25" customHeight="1" spans="1:16">
      <c r="A68" s="42"/>
      <c r="B68" s="37" t="s">
        <v>144</v>
      </c>
      <c r="C68" s="33" t="s">
        <v>145</v>
      </c>
      <c r="D68" s="21"/>
      <c r="E68" s="21">
        <v>0</v>
      </c>
      <c r="F68" s="21">
        <v>0</v>
      </c>
      <c r="G68" s="21">
        <v>0</v>
      </c>
      <c r="H68" s="21"/>
      <c r="I68" s="46"/>
      <c r="J68" s="21"/>
      <c r="K68" s="21"/>
      <c r="L68" s="21"/>
      <c r="M68" s="21"/>
      <c r="N68" s="21"/>
      <c r="O68" s="21"/>
      <c r="P68" s="47">
        <f t="shared" si="0"/>
        <v>0</v>
      </c>
    </row>
    <row r="69" s="5" customFormat="1" ht="17.25" customHeight="1" spans="1:16">
      <c r="A69" s="42"/>
      <c r="B69" s="39"/>
      <c r="C69" s="33" t="s">
        <v>146</v>
      </c>
      <c r="D69" s="21"/>
      <c r="E69" s="21">
        <v>0</v>
      </c>
      <c r="F69" s="21">
        <v>0</v>
      </c>
      <c r="G69" s="21">
        <v>0</v>
      </c>
      <c r="H69" s="21"/>
      <c r="I69" s="46"/>
      <c r="J69" s="21"/>
      <c r="K69" s="21"/>
      <c r="L69" s="21"/>
      <c r="M69" s="21"/>
      <c r="N69" s="21"/>
      <c r="O69" s="21"/>
      <c r="P69" s="47">
        <f t="shared" si="0"/>
        <v>0</v>
      </c>
    </row>
    <row r="70" s="5" customFormat="1" ht="17.25" customHeight="1" spans="1:16">
      <c r="A70" s="42"/>
      <c r="B70" s="37" t="s">
        <v>147</v>
      </c>
      <c r="C70" s="32" t="s">
        <v>147</v>
      </c>
      <c r="D70" s="21"/>
      <c r="E70" s="21">
        <v>0</v>
      </c>
      <c r="F70" s="21">
        <v>0</v>
      </c>
      <c r="G70" s="21">
        <v>0</v>
      </c>
      <c r="H70" s="21"/>
      <c r="I70" s="46"/>
      <c r="J70" s="21"/>
      <c r="K70" s="21"/>
      <c r="L70" s="21"/>
      <c r="M70" s="21"/>
      <c r="N70" s="21"/>
      <c r="O70" s="21"/>
      <c r="P70" s="47">
        <f t="shared" si="0"/>
        <v>0</v>
      </c>
    </row>
    <row r="71" s="5" customFormat="1" ht="17.25" customHeight="1" spans="1:16">
      <c r="A71" s="42"/>
      <c r="B71" s="40" t="s">
        <v>148</v>
      </c>
      <c r="C71" s="33" t="s">
        <v>148</v>
      </c>
      <c r="D71" s="21"/>
      <c r="E71" s="21">
        <v>0</v>
      </c>
      <c r="F71" s="21">
        <v>0</v>
      </c>
      <c r="G71" s="21">
        <v>0</v>
      </c>
      <c r="H71" s="21"/>
      <c r="I71" s="46"/>
      <c r="J71" s="21"/>
      <c r="K71" s="21"/>
      <c r="L71" s="21"/>
      <c r="M71" s="21"/>
      <c r="N71" s="21"/>
      <c r="O71" s="21"/>
      <c r="P71" s="47">
        <f t="shared" ref="P71:P98" si="1">SUM(D71:O71)</f>
        <v>0</v>
      </c>
    </row>
    <row r="72" s="5" customFormat="1" ht="17.25" customHeight="1" spans="1:16">
      <c r="A72" s="42"/>
      <c r="B72" s="40" t="s">
        <v>149</v>
      </c>
      <c r="C72" s="33" t="s">
        <v>149</v>
      </c>
      <c r="D72" s="21"/>
      <c r="E72" s="21">
        <v>0</v>
      </c>
      <c r="F72" s="21">
        <v>0</v>
      </c>
      <c r="G72" s="21">
        <v>0</v>
      </c>
      <c r="H72" s="21"/>
      <c r="I72" s="46"/>
      <c r="J72" s="21"/>
      <c r="K72" s="21"/>
      <c r="L72" s="21"/>
      <c r="M72" s="21"/>
      <c r="N72" s="21"/>
      <c r="O72" s="21"/>
      <c r="P72" s="47">
        <f t="shared" si="1"/>
        <v>0</v>
      </c>
    </row>
    <row r="73" s="5" customFormat="1" ht="17.25" customHeight="1" spans="1:16">
      <c r="A73" s="42"/>
      <c r="B73" s="37" t="s">
        <v>150</v>
      </c>
      <c r="C73" s="33" t="s">
        <v>151</v>
      </c>
      <c r="D73" s="21"/>
      <c r="E73" s="21">
        <v>0</v>
      </c>
      <c r="F73" s="21">
        <v>0</v>
      </c>
      <c r="G73" s="21">
        <v>0</v>
      </c>
      <c r="H73" s="21"/>
      <c r="I73" s="46"/>
      <c r="J73" s="21"/>
      <c r="K73" s="21"/>
      <c r="L73" s="21"/>
      <c r="M73" s="21"/>
      <c r="N73" s="21"/>
      <c r="O73" s="21"/>
      <c r="P73" s="47">
        <f t="shared" si="1"/>
        <v>0</v>
      </c>
    </row>
    <row r="74" s="5" customFormat="1" ht="17.25" customHeight="1" spans="1:16">
      <c r="A74" s="42"/>
      <c r="B74" s="39"/>
      <c r="C74" s="49" t="s">
        <v>152</v>
      </c>
      <c r="D74" s="21"/>
      <c r="E74" s="21">
        <v>0</v>
      </c>
      <c r="F74" s="21">
        <v>0</v>
      </c>
      <c r="G74" s="21">
        <v>0</v>
      </c>
      <c r="H74" s="21"/>
      <c r="I74" s="46"/>
      <c r="J74" s="21"/>
      <c r="K74" s="21"/>
      <c r="L74" s="21"/>
      <c r="M74" s="21"/>
      <c r="N74" s="21"/>
      <c r="O74" s="21"/>
      <c r="P74" s="47">
        <f t="shared" si="1"/>
        <v>0</v>
      </c>
    </row>
    <row r="75" s="5" customFormat="1" ht="17.25" customHeight="1" spans="1:16">
      <c r="A75" s="42"/>
      <c r="B75" s="40" t="s">
        <v>153</v>
      </c>
      <c r="C75" s="33" t="s">
        <v>153</v>
      </c>
      <c r="D75" s="21"/>
      <c r="E75" s="21">
        <v>0</v>
      </c>
      <c r="F75" s="21">
        <v>0</v>
      </c>
      <c r="G75" s="21">
        <v>0</v>
      </c>
      <c r="H75" s="21"/>
      <c r="I75" s="46"/>
      <c r="J75" s="21"/>
      <c r="K75" s="21"/>
      <c r="L75" s="21"/>
      <c r="M75" s="21"/>
      <c r="N75" s="21"/>
      <c r="O75" s="21"/>
      <c r="P75" s="47">
        <f t="shared" si="1"/>
        <v>0</v>
      </c>
    </row>
    <row r="76" s="5" customFormat="1" ht="17.25" customHeight="1" spans="1:16">
      <c r="A76" s="50" t="s">
        <v>154</v>
      </c>
      <c r="B76" s="19" t="s">
        <v>155</v>
      </c>
      <c r="C76" s="32" t="s">
        <v>155</v>
      </c>
      <c r="D76" s="21"/>
      <c r="E76" s="21">
        <v>0</v>
      </c>
      <c r="F76" s="21">
        <v>0</v>
      </c>
      <c r="G76" s="21">
        <v>0</v>
      </c>
      <c r="H76" s="21"/>
      <c r="I76" s="46"/>
      <c r="J76" s="21"/>
      <c r="K76" s="21"/>
      <c r="L76" s="21"/>
      <c r="M76" s="21"/>
      <c r="N76" s="21"/>
      <c r="O76" s="21"/>
      <c r="P76" s="47">
        <f t="shared" si="1"/>
        <v>0</v>
      </c>
    </row>
    <row r="77" s="5" customFormat="1" ht="17.25" customHeight="1" spans="1:16">
      <c r="A77" s="50"/>
      <c r="B77" s="19" t="s">
        <v>156</v>
      </c>
      <c r="C77" s="33" t="s">
        <v>157</v>
      </c>
      <c r="D77" s="21"/>
      <c r="E77" s="21">
        <v>0</v>
      </c>
      <c r="F77" s="21">
        <v>0</v>
      </c>
      <c r="G77" s="21">
        <v>0</v>
      </c>
      <c r="H77" s="21"/>
      <c r="I77" s="46"/>
      <c r="J77" s="21"/>
      <c r="K77" s="21"/>
      <c r="L77" s="21"/>
      <c r="M77" s="21"/>
      <c r="N77" s="21"/>
      <c r="O77" s="21"/>
      <c r="P77" s="47">
        <f t="shared" si="1"/>
        <v>0</v>
      </c>
    </row>
    <row r="78" s="5" customFormat="1" ht="17.25" customHeight="1" spans="1:16">
      <c r="A78" s="50"/>
      <c r="B78" s="23"/>
      <c r="C78" s="49" t="s">
        <v>158</v>
      </c>
      <c r="D78" s="21"/>
      <c r="E78" s="21">
        <v>0</v>
      </c>
      <c r="F78" s="21">
        <v>0</v>
      </c>
      <c r="G78" s="21">
        <v>0</v>
      </c>
      <c r="H78" s="21"/>
      <c r="I78" s="46"/>
      <c r="J78" s="21"/>
      <c r="K78" s="21"/>
      <c r="L78" s="21"/>
      <c r="M78" s="21"/>
      <c r="N78" s="21"/>
      <c r="O78" s="21"/>
      <c r="P78" s="47">
        <f t="shared" si="1"/>
        <v>0</v>
      </c>
    </row>
    <row r="79" s="5" customFormat="1" ht="17.25" customHeight="1" spans="1:16">
      <c r="A79" s="50"/>
      <c r="B79" s="26" t="s">
        <v>159</v>
      </c>
      <c r="C79" s="33" t="s">
        <v>159</v>
      </c>
      <c r="D79" s="21"/>
      <c r="E79" s="21">
        <v>0</v>
      </c>
      <c r="F79" s="21">
        <v>0</v>
      </c>
      <c r="G79" s="21">
        <v>0</v>
      </c>
      <c r="H79" s="21"/>
      <c r="I79" s="46"/>
      <c r="J79" s="21"/>
      <c r="K79" s="21"/>
      <c r="L79" s="21"/>
      <c r="M79" s="21"/>
      <c r="N79" s="21"/>
      <c r="O79" s="21"/>
      <c r="P79" s="47">
        <f t="shared" si="1"/>
        <v>0</v>
      </c>
    </row>
    <row r="80" s="5" customFormat="1" ht="17.25" customHeight="1" spans="1:16">
      <c r="A80" s="51" t="s">
        <v>160</v>
      </c>
      <c r="B80" s="26" t="s">
        <v>161</v>
      </c>
      <c r="C80" s="33" t="s">
        <v>161</v>
      </c>
      <c r="D80" s="21">
        <v>481.44</v>
      </c>
      <c r="E80" s="21">
        <v>-114</v>
      </c>
      <c r="F80" s="21">
        <v>0</v>
      </c>
      <c r="G80" s="21">
        <v>22.33</v>
      </c>
      <c r="H80" s="21"/>
      <c r="I80" s="46"/>
      <c r="J80" s="21"/>
      <c r="K80" s="21"/>
      <c r="L80" s="21"/>
      <c r="M80" s="21"/>
      <c r="N80" s="21"/>
      <c r="O80" s="21"/>
      <c r="P80" s="47">
        <f t="shared" si="1"/>
        <v>389.77</v>
      </c>
    </row>
    <row r="81" s="5" customFormat="1" ht="17.25" customHeight="1" spans="1:16">
      <c r="A81" s="51"/>
      <c r="B81" s="26" t="s">
        <v>162</v>
      </c>
      <c r="C81" s="25" t="s">
        <v>162</v>
      </c>
      <c r="D81" s="21"/>
      <c r="E81" s="21">
        <v>0</v>
      </c>
      <c r="F81" s="21">
        <v>0</v>
      </c>
      <c r="G81" s="21">
        <v>0</v>
      </c>
      <c r="H81" s="21"/>
      <c r="I81" s="46"/>
      <c r="J81" s="21"/>
      <c r="K81" s="21"/>
      <c r="L81" s="21"/>
      <c r="M81" s="21"/>
      <c r="N81" s="21"/>
      <c r="O81" s="21"/>
      <c r="P81" s="47">
        <f t="shared" si="1"/>
        <v>0</v>
      </c>
    </row>
    <row r="82" s="5" customFormat="1" ht="17.25" customHeight="1" spans="1:16">
      <c r="A82" s="51"/>
      <c r="B82" s="19" t="s">
        <v>163</v>
      </c>
      <c r="C82" s="25" t="s">
        <v>164</v>
      </c>
      <c r="D82" s="21"/>
      <c r="E82" s="21">
        <v>0</v>
      </c>
      <c r="F82" s="21">
        <v>0</v>
      </c>
      <c r="G82" s="21">
        <v>0</v>
      </c>
      <c r="H82" s="21"/>
      <c r="I82" s="46"/>
      <c r="J82" s="21"/>
      <c r="K82" s="21"/>
      <c r="L82" s="21"/>
      <c r="M82" s="21"/>
      <c r="N82" s="21"/>
      <c r="O82" s="21"/>
      <c r="P82" s="47">
        <f t="shared" si="1"/>
        <v>0</v>
      </c>
    </row>
    <row r="83" s="5" customFormat="1" ht="17.25" customHeight="1" spans="1:16">
      <c r="A83" s="51"/>
      <c r="B83" s="24"/>
      <c r="C83" s="25" t="s">
        <v>165</v>
      </c>
      <c r="D83" s="21"/>
      <c r="E83" s="21">
        <v>0</v>
      </c>
      <c r="F83" s="21">
        <v>0</v>
      </c>
      <c r="G83" s="21">
        <v>0</v>
      </c>
      <c r="H83" s="21"/>
      <c r="I83" s="46"/>
      <c r="J83" s="21"/>
      <c r="K83" s="21"/>
      <c r="L83" s="21"/>
      <c r="M83" s="21"/>
      <c r="N83" s="21"/>
      <c r="O83" s="21"/>
      <c r="P83" s="47">
        <f t="shared" si="1"/>
        <v>0</v>
      </c>
    </row>
    <row r="84" s="5" customFormat="1" ht="17.25" customHeight="1" spans="1:16">
      <c r="A84" s="51"/>
      <c r="B84" s="23"/>
      <c r="C84" s="25" t="s">
        <v>166</v>
      </c>
      <c r="D84" s="21"/>
      <c r="E84" s="21">
        <v>0</v>
      </c>
      <c r="F84" s="21">
        <v>0</v>
      </c>
      <c r="G84" s="21">
        <v>0</v>
      </c>
      <c r="H84" s="21"/>
      <c r="I84" s="46"/>
      <c r="J84" s="21"/>
      <c r="K84" s="21"/>
      <c r="L84" s="21"/>
      <c r="M84" s="21"/>
      <c r="N84" s="21"/>
      <c r="O84" s="21"/>
      <c r="P84" s="47">
        <f t="shared" si="1"/>
        <v>0</v>
      </c>
    </row>
    <row r="85" s="5" customFormat="1" ht="17.25" customHeight="1" spans="1:16">
      <c r="A85" s="51"/>
      <c r="B85" s="26" t="s">
        <v>167</v>
      </c>
      <c r="C85" s="33" t="s">
        <v>167</v>
      </c>
      <c r="D85" s="21"/>
      <c r="E85" s="21">
        <v>0</v>
      </c>
      <c r="F85" s="21">
        <v>0</v>
      </c>
      <c r="G85" s="21">
        <v>0</v>
      </c>
      <c r="H85" s="21"/>
      <c r="I85" s="46"/>
      <c r="J85" s="21"/>
      <c r="K85" s="21"/>
      <c r="L85" s="21"/>
      <c r="M85" s="21"/>
      <c r="N85" s="21"/>
      <c r="O85" s="21"/>
      <c r="P85" s="47">
        <f t="shared" si="1"/>
        <v>0</v>
      </c>
    </row>
    <row r="86" s="5" customFormat="1" ht="17.25" customHeight="1" spans="1:16">
      <c r="A86" s="52" t="s">
        <v>168</v>
      </c>
      <c r="B86" s="26" t="s">
        <v>169</v>
      </c>
      <c r="C86" s="33" t="s">
        <v>169</v>
      </c>
      <c r="D86" s="21"/>
      <c r="E86" s="21">
        <v>0</v>
      </c>
      <c r="F86" s="21">
        <v>0</v>
      </c>
      <c r="G86" s="21">
        <v>0</v>
      </c>
      <c r="H86" s="21"/>
      <c r="I86" s="46"/>
      <c r="J86" s="21"/>
      <c r="K86" s="21"/>
      <c r="L86" s="21"/>
      <c r="M86" s="21"/>
      <c r="N86" s="21"/>
      <c r="O86" s="21"/>
      <c r="P86" s="47">
        <f t="shared" si="1"/>
        <v>0</v>
      </c>
    </row>
    <row r="87" s="5" customFormat="1" ht="17.25" customHeight="1" spans="1:16">
      <c r="A87" s="52"/>
      <c r="B87" s="26" t="s">
        <v>170</v>
      </c>
      <c r="C87" s="33" t="s">
        <v>170</v>
      </c>
      <c r="D87" s="21"/>
      <c r="E87" s="21">
        <v>0</v>
      </c>
      <c r="F87" s="21">
        <v>0</v>
      </c>
      <c r="G87" s="21">
        <v>0</v>
      </c>
      <c r="H87" s="21"/>
      <c r="I87" s="46"/>
      <c r="J87" s="21"/>
      <c r="K87" s="21"/>
      <c r="L87" s="21"/>
      <c r="M87" s="21"/>
      <c r="N87" s="21"/>
      <c r="O87" s="21"/>
      <c r="P87" s="47">
        <f t="shared" si="1"/>
        <v>0</v>
      </c>
    </row>
    <row r="88" s="5" customFormat="1" ht="17.25" customHeight="1" spans="1:16">
      <c r="A88" s="52"/>
      <c r="B88" s="26" t="s">
        <v>171</v>
      </c>
      <c r="C88" s="33" t="s">
        <v>171</v>
      </c>
      <c r="D88" s="21"/>
      <c r="E88" s="21">
        <v>0</v>
      </c>
      <c r="F88" s="21">
        <v>0</v>
      </c>
      <c r="G88" s="21">
        <v>0</v>
      </c>
      <c r="H88" s="21"/>
      <c r="I88" s="46"/>
      <c r="J88" s="21"/>
      <c r="K88" s="21"/>
      <c r="L88" s="21"/>
      <c r="M88" s="21"/>
      <c r="N88" s="21"/>
      <c r="O88" s="21"/>
      <c r="P88" s="47">
        <f t="shared" si="1"/>
        <v>0</v>
      </c>
    </row>
    <row r="89" s="5" customFormat="1" ht="17.25" customHeight="1" spans="1:16">
      <c r="A89" s="52"/>
      <c r="B89" s="19" t="s">
        <v>172</v>
      </c>
      <c r="C89" s="32" t="s">
        <v>172</v>
      </c>
      <c r="D89" s="21"/>
      <c r="E89" s="21">
        <v>0</v>
      </c>
      <c r="F89" s="21">
        <v>0</v>
      </c>
      <c r="G89" s="21">
        <v>0</v>
      </c>
      <c r="H89" s="21"/>
      <c r="I89" s="46"/>
      <c r="J89" s="21"/>
      <c r="K89" s="21"/>
      <c r="L89" s="21"/>
      <c r="M89" s="21"/>
      <c r="N89" s="21"/>
      <c r="O89" s="21"/>
      <c r="P89" s="47">
        <f t="shared" si="1"/>
        <v>0</v>
      </c>
    </row>
    <row r="90" s="5" customFormat="1" ht="17.25" customHeight="1" spans="1:16">
      <c r="A90" s="53" t="s">
        <v>173</v>
      </c>
      <c r="B90" s="19" t="s">
        <v>174</v>
      </c>
      <c r="C90" s="32" t="s">
        <v>174</v>
      </c>
      <c r="D90" s="21"/>
      <c r="E90" s="21">
        <v>0</v>
      </c>
      <c r="F90" s="21">
        <v>0</v>
      </c>
      <c r="G90" s="21">
        <v>0</v>
      </c>
      <c r="H90" s="21"/>
      <c r="I90" s="46"/>
      <c r="J90" s="21"/>
      <c r="K90" s="21"/>
      <c r="L90" s="21"/>
      <c r="M90" s="21"/>
      <c r="N90" s="21"/>
      <c r="O90" s="21"/>
      <c r="P90" s="47">
        <f t="shared" si="1"/>
        <v>0</v>
      </c>
    </row>
    <row r="91" s="5" customFormat="1" ht="17.25" customHeight="1" spans="1:16">
      <c r="A91" s="54"/>
      <c r="B91" s="23" t="s">
        <v>175</v>
      </c>
      <c r="C91" s="55" t="s">
        <v>175</v>
      </c>
      <c r="D91" s="21"/>
      <c r="E91" s="21">
        <v>0</v>
      </c>
      <c r="F91" s="21">
        <v>0</v>
      </c>
      <c r="G91" s="21">
        <v>0</v>
      </c>
      <c r="H91" s="21"/>
      <c r="I91" s="46"/>
      <c r="J91" s="21"/>
      <c r="K91" s="21"/>
      <c r="L91" s="21"/>
      <c r="M91" s="21"/>
      <c r="N91" s="21"/>
      <c r="O91" s="21"/>
      <c r="P91" s="47">
        <f t="shared" si="1"/>
        <v>0</v>
      </c>
    </row>
    <row r="92" s="5" customFormat="1" ht="17.25" customHeight="1" spans="1:16">
      <c r="A92" s="56"/>
      <c r="B92" s="26" t="s">
        <v>83</v>
      </c>
      <c r="C92" s="33" t="s">
        <v>83</v>
      </c>
      <c r="D92" s="21">
        <v>34243.27</v>
      </c>
      <c r="E92" s="21">
        <v>13175.46</v>
      </c>
      <c r="F92" s="21">
        <v>27121.89</v>
      </c>
      <c r="G92" s="21">
        <v>30806.77</v>
      </c>
      <c r="H92" s="21"/>
      <c r="I92" s="46"/>
      <c r="J92" s="21"/>
      <c r="K92" s="21"/>
      <c r="L92" s="21"/>
      <c r="M92" s="21"/>
      <c r="N92" s="21"/>
      <c r="O92" s="21"/>
      <c r="P92" s="47">
        <f t="shared" si="1"/>
        <v>105347.39</v>
      </c>
    </row>
    <row r="93" s="6" customFormat="1" ht="15" customHeight="1" spans="1:16">
      <c r="A93" s="57" t="s">
        <v>12</v>
      </c>
      <c r="B93" s="57"/>
      <c r="C93" s="57"/>
      <c r="D93" s="58">
        <f>SUM(D6:D92)</f>
        <v>318697.91</v>
      </c>
      <c r="E93" s="58">
        <f t="shared" ref="E93:O93" si="2">SUM(E6:E92)</f>
        <v>248241.43</v>
      </c>
      <c r="F93" s="58">
        <f t="shared" si="2"/>
        <v>319326.68</v>
      </c>
      <c r="G93" s="58">
        <f t="shared" si="2"/>
        <v>297781.71</v>
      </c>
      <c r="H93" s="58">
        <f t="shared" si="2"/>
        <v>0</v>
      </c>
      <c r="I93" s="58">
        <f t="shared" si="2"/>
        <v>0</v>
      </c>
      <c r="J93" s="58">
        <f t="shared" si="2"/>
        <v>0</v>
      </c>
      <c r="K93" s="58">
        <f t="shared" si="2"/>
        <v>0</v>
      </c>
      <c r="L93" s="58">
        <f t="shared" si="2"/>
        <v>0</v>
      </c>
      <c r="M93" s="58">
        <f t="shared" si="2"/>
        <v>0</v>
      </c>
      <c r="N93" s="58">
        <f t="shared" si="2"/>
        <v>0</v>
      </c>
      <c r="O93" s="58">
        <f t="shared" si="2"/>
        <v>0</v>
      </c>
      <c r="P93" s="47">
        <f t="shared" si="1"/>
        <v>1184047.73</v>
      </c>
    </row>
    <row r="94" s="7" customFormat="1" ht="15" customHeight="1" spans="1:16">
      <c r="A94" s="59" t="s">
        <v>387</v>
      </c>
      <c r="B94" s="59"/>
      <c r="C94" s="59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47">
        <f t="shared" si="1"/>
        <v>0</v>
      </c>
    </row>
    <row r="95" s="7" customFormat="1" ht="15" customHeight="1" spans="1:16">
      <c r="A95" s="59" t="s">
        <v>178</v>
      </c>
      <c r="B95" s="59"/>
      <c r="C95" s="59"/>
      <c r="D95" s="21">
        <f>D93</f>
        <v>318697.91</v>
      </c>
      <c r="E95" s="21">
        <f t="shared" ref="E95:O95" si="3">E93</f>
        <v>248241.43</v>
      </c>
      <c r="F95" s="21">
        <f t="shared" si="3"/>
        <v>319326.68</v>
      </c>
      <c r="G95" s="21">
        <f t="shared" si="3"/>
        <v>297781.71</v>
      </c>
      <c r="H95" s="21">
        <f t="shared" si="3"/>
        <v>0</v>
      </c>
      <c r="I95" s="21">
        <f t="shared" si="3"/>
        <v>0</v>
      </c>
      <c r="J95" s="21">
        <f t="shared" si="3"/>
        <v>0</v>
      </c>
      <c r="K95" s="21">
        <f t="shared" si="3"/>
        <v>0</v>
      </c>
      <c r="L95" s="21">
        <f t="shared" si="3"/>
        <v>0</v>
      </c>
      <c r="M95" s="21">
        <f t="shared" si="3"/>
        <v>0</v>
      </c>
      <c r="N95" s="21">
        <f t="shared" si="3"/>
        <v>0</v>
      </c>
      <c r="O95" s="21">
        <f t="shared" si="3"/>
        <v>0</v>
      </c>
      <c r="P95" s="47">
        <f t="shared" si="1"/>
        <v>1184047.73</v>
      </c>
    </row>
    <row r="96" s="7" customFormat="1" ht="15" customHeight="1" spans="1:16">
      <c r="A96" s="60" t="s">
        <v>179</v>
      </c>
      <c r="B96" s="60"/>
      <c r="C96" s="6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47">
        <f t="shared" si="1"/>
        <v>0</v>
      </c>
    </row>
    <row r="97" s="7" customFormat="1" ht="15" customHeight="1" spans="1:16">
      <c r="A97" s="61" t="s">
        <v>180</v>
      </c>
      <c r="B97" s="62"/>
      <c r="C97" s="63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47">
        <f t="shared" si="1"/>
        <v>0</v>
      </c>
    </row>
    <row r="98" s="7" customFormat="1" ht="15" customHeight="1" spans="1:16">
      <c r="A98" s="61"/>
      <c r="B98" s="62"/>
      <c r="C98" s="63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47">
        <f t="shared" si="1"/>
        <v>0</v>
      </c>
    </row>
    <row r="99" s="8" customFormat="1" ht="16.5" customHeight="1" spans="7:9">
      <c r="G99" s="8">
        <v>944180.15</v>
      </c>
      <c r="H99" s="9"/>
      <c r="I99" s="9"/>
    </row>
    <row r="100" s="9" customFormat="1" ht="16.5" customHeight="1" spans="4:15">
      <c r="D100" s="64" t="b">
        <f>D93=SUM(D94:D97)</f>
        <v>1</v>
      </c>
      <c r="E100" s="64" t="b">
        <f t="shared" ref="E100:O100" si="4">E93=SUM(E94:E97)</f>
        <v>1</v>
      </c>
      <c r="F100" s="64" t="b">
        <f t="shared" si="4"/>
        <v>1</v>
      </c>
      <c r="G100" s="64" t="b">
        <f t="shared" si="4"/>
        <v>1</v>
      </c>
      <c r="H100" s="64" t="b">
        <f t="shared" si="4"/>
        <v>1</v>
      </c>
      <c r="I100" s="64" t="b">
        <f t="shared" si="4"/>
        <v>1</v>
      </c>
      <c r="J100" s="64" t="b">
        <f t="shared" si="4"/>
        <v>1</v>
      </c>
      <c r="K100" s="64" t="b">
        <f t="shared" si="4"/>
        <v>1</v>
      </c>
      <c r="L100" s="64" t="b">
        <f t="shared" si="4"/>
        <v>1</v>
      </c>
      <c r="M100" s="64" t="b">
        <f t="shared" si="4"/>
        <v>1</v>
      </c>
      <c r="N100" s="64" t="b">
        <f t="shared" si="4"/>
        <v>1</v>
      </c>
      <c r="O100" s="64" t="b">
        <f t="shared" si="4"/>
        <v>1</v>
      </c>
    </row>
    <row r="101" s="9" customFormat="1" spans="2:12">
      <c r="B101" s="9" t="s">
        <v>392</v>
      </c>
      <c r="E101" s="65"/>
      <c r="F101" s="65"/>
      <c r="G101" s="65"/>
      <c r="J101" s="65"/>
      <c r="K101" s="67"/>
      <c r="L101" s="67"/>
    </row>
    <row r="102" s="9" customFormat="1" spans="2:16">
      <c r="B102" s="9" t="s">
        <v>393</v>
      </c>
      <c r="P102" s="9">
        <v>19421015.75</v>
      </c>
    </row>
    <row r="103" spans="16:16">
      <c r="P103" s="68">
        <f>P102-P93</f>
        <v>18236968.02</v>
      </c>
    </row>
    <row r="106" spans="6:12">
      <c r="F106" s="66"/>
      <c r="G106" s="66"/>
      <c r="L106" s="66"/>
    </row>
  </sheetData>
  <autoFilter ref="A5:Q103">
    <extLst/>
  </autoFilter>
  <mergeCells count="37">
    <mergeCell ref="A1:N1"/>
    <mergeCell ref="D4:O4"/>
    <mergeCell ref="A93:C93"/>
    <mergeCell ref="A94:C94"/>
    <mergeCell ref="A95:C95"/>
    <mergeCell ref="A96:C96"/>
    <mergeCell ref="A97:C97"/>
    <mergeCell ref="A98:C98"/>
    <mergeCell ref="A4:A5"/>
    <mergeCell ref="A6:A27"/>
    <mergeCell ref="A28:A40"/>
    <mergeCell ref="A41:A48"/>
    <mergeCell ref="A49:A56"/>
    <mergeCell ref="A57:A62"/>
    <mergeCell ref="A63:A75"/>
    <mergeCell ref="A76:A79"/>
    <mergeCell ref="A80:A85"/>
    <mergeCell ref="A86:A89"/>
    <mergeCell ref="A90:A92"/>
    <mergeCell ref="B4:B5"/>
    <mergeCell ref="B6:B7"/>
    <mergeCell ref="B10:B18"/>
    <mergeCell ref="B22:B26"/>
    <mergeCell ref="B28:B29"/>
    <mergeCell ref="B31:B33"/>
    <mergeCell ref="B34:B35"/>
    <mergeCell ref="B38:B39"/>
    <mergeCell ref="B44:B45"/>
    <mergeCell ref="B49:B51"/>
    <mergeCell ref="B52:B54"/>
    <mergeCell ref="B59:B60"/>
    <mergeCell ref="B68:B69"/>
    <mergeCell ref="B73:B74"/>
    <mergeCell ref="B77:B78"/>
    <mergeCell ref="B82:B84"/>
    <mergeCell ref="C4:C5"/>
    <mergeCell ref="P4:P5"/>
  </mergeCells>
  <conditionalFormatting sqref="D100:O100">
    <cfRule type="cellIs" dxfId="0" priority="9" stopIfTrue="1" operator="equal">
      <formula>"no"</formula>
    </cfRule>
    <cfRule type="cellIs" dxfId="0" priority="1" stopIfTrue="1" operator="equal">
      <formula>"no"</formula>
    </cfRule>
    <cfRule type="cellIs" dxfId="0" priority="2" stopIfTrue="1" operator="equal">
      <formula>"no"</formula>
    </cfRule>
    <cfRule type="cellIs" dxfId="0" priority="3" stopIfTrue="1" operator="equal">
      <formula>"no"</formula>
    </cfRule>
    <cfRule type="cellIs" dxfId="0" priority="4" stopIfTrue="1" operator="equal">
      <formula>"no"</formula>
    </cfRule>
    <cfRule type="cellIs" dxfId="0" priority="5" stopIfTrue="1" operator="equal">
      <formula>"no"</formula>
    </cfRule>
    <cfRule type="cellIs" dxfId="0" priority="6" stopIfTrue="1" operator="equal">
      <formula>"no"</formula>
    </cfRule>
    <cfRule type="cellIs" dxfId="0" priority="7" stopIfTrue="1" operator="equal">
      <formula>"no"</formula>
    </cfRule>
    <cfRule type="cellIs" dxfId="0" priority="8" stopIfTrue="1" operator="equal">
      <formula>"no"</formula>
    </cfRule>
  </conditionalFormatting>
  <conditionalFormatting sqref="J34:L34 A34:G34 O34:XFD34">
    <cfRule type="cellIs" dxfId="0" priority="11" stopIfTrue="1" operator="equal">
      <formula>"no"</formula>
    </cfRule>
  </conditionalFormatting>
  <conditionalFormatting sqref="A99:G99 J99:IV99">
    <cfRule type="cellIs" dxfId="0" priority="10" stopIfTrue="1" operator="equal">
      <formula>"no"</formula>
    </cfRule>
  </conditionalFormatting>
  <pageMargins left="0.75" right="0.75" top="1" bottom="1" header="0.5" footer="0.5"/>
  <pageSetup paperSize="9" orientation="portrait" verticalDpi="1200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98</vt:i4>
      </vt:variant>
    </vt:vector>
  </HeadingPairs>
  <TitlesOfParts>
    <vt:vector size="98" baseType="lpstr">
      <vt:lpstr>封面</vt:lpstr>
      <vt:lpstr>目录</vt:lpstr>
      <vt:lpstr>期间费用</vt:lpstr>
      <vt:lpstr>合并管理费用表09</vt:lpstr>
      <vt:lpstr>G-高新</vt:lpstr>
      <vt:lpstr>G-有机硅</vt:lpstr>
      <vt:lpstr>G-天津</vt:lpstr>
      <vt:lpstr>G-宁德</vt:lpstr>
      <vt:lpstr>G-香港</vt:lpstr>
      <vt:lpstr>G-中科</vt:lpstr>
      <vt:lpstr>G-江苏天赐</vt:lpstr>
      <vt:lpstr>G-创新中心</vt:lpstr>
      <vt:lpstr>G-中天鸿锂</vt:lpstr>
      <vt:lpstr>G-宜春天赐</vt:lpstr>
      <vt:lpstr>G-浙江艾德</vt:lpstr>
      <vt:lpstr>G-美思</vt:lpstr>
      <vt:lpstr>G-九江</vt:lpstr>
      <vt:lpstr>G-天祺</vt:lpstr>
      <vt:lpstr>G-中硝</vt:lpstr>
      <vt:lpstr>G-张家港吉慕特</vt:lpstr>
      <vt:lpstr>G-九江吉慕特</vt:lpstr>
      <vt:lpstr>G-上海吉慕特</vt:lpstr>
      <vt:lpstr>G-安徽天孚</vt:lpstr>
      <vt:lpstr>G-池州天赐</vt:lpstr>
      <vt:lpstr>G-九江矿业</vt:lpstr>
      <vt:lpstr>G-捷克天赐</vt:lpstr>
      <vt:lpstr>G-浙江天硕</vt:lpstr>
      <vt:lpstr>合并研究开发费用表10</vt:lpstr>
      <vt:lpstr>Y-高新</vt:lpstr>
      <vt:lpstr>Y-有机硅</vt:lpstr>
      <vt:lpstr>Y-美思</vt:lpstr>
      <vt:lpstr>Y-宜春天赐</vt:lpstr>
      <vt:lpstr>Y-上海吉慕特</vt:lpstr>
      <vt:lpstr>Y-张家港吉慕特</vt:lpstr>
      <vt:lpstr>Y-创新中心</vt:lpstr>
      <vt:lpstr>Y-中科</vt:lpstr>
      <vt:lpstr>Y-九江</vt:lpstr>
      <vt:lpstr>Y-安徽天孚</vt:lpstr>
      <vt:lpstr>Y-宁德</vt:lpstr>
      <vt:lpstr>Y-天津</vt:lpstr>
      <vt:lpstr>Y-中天鸿锂</vt:lpstr>
      <vt:lpstr>合并销售费用12</vt:lpstr>
      <vt:lpstr>X-高新</vt:lpstr>
      <vt:lpstr>X-有机硅</vt:lpstr>
      <vt:lpstr>X-香港</vt:lpstr>
      <vt:lpstr>X-九江</vt:lpstr>
      <vt:lpstr>X-天祺</vt:lpstr>
      <vt:lpstr>X-九江矿业</vt:lpstr>
      <vt:lpstr>X-中硝</vt:lpstr>
      <vt:lpstr>X-宁德</vt:lpstr>
      <vt:lpstr>X-天津</vt:lpstr>
      <vt:lpstr>X-美思</vt:lpstr>
      <vt:lpstr>X-宜春天赐</vt:lpstr>
      <vt:lpstr>X-张家港吉慕特</vt:lpstr>
      <vt:lpstr>X-上海吉慕特</vt:lpstr>
      <vt:lpstr>X-捷克天赐</vt:lpstr>
      <vt:lpstr>X-安徽天孚</vt:lpstr>
      <vt:lpstr>X-池州天赐</vt:lpstr>
      <vt:lpstr>X-中天鸿锂</vt:lpstr>
      <vt:lpstr>合并财务费用13</vt:lpstr>
      <vt:lpstr>C-高新</vt:lpstr>
      <vt:lpstr>C-上海吉慕特</vt:lpstr>
      <vt:lpstr>C-九江吉慕特</vt:lpstr>
      <vt:lpstr>C-张家港吉慕特</vt:lpstr>
      <vt:lpstr>C-浙江艾德</vt:lpstr>
      <vt:lpstr>C-宜春天赐</vt:lpstr>
      <vt:lpstr>C-中硝</vt:lpstr>
      <vt:lpstr>C-江苏天赐</vt:lpstr>
      <vt:lpstr>C-九江矿业</vt:lpstr>
      <vt:lpstr>C-中天鸿锂</vt:lpstr>
      <vt:lpstr>C-九江</vt:lpstr>
      <vt:lpstr>C-安徽天孚</vt:lpstr>
      <vt:lpstr>C-池州天赐</vt:lpstr>
      <vt:lpstr>C-有机硅</vt:lpstr>
      <vt:lpstr>C-天津</vt:lpstr>
      <vt:lpstr>C-中科</vt:lpstr>
      <vt:lpstr>C-美思</vt:lpstr>
      <vt:lpstr>C-宁德</vt:lpstr>
      <vt:lpstr>C-创新中心</vt:lpstr>
      <vt:lpstr>C-香港</vt:lpstr>
      <vt:lpstr>C-天祺</vt:lpstr>
      <vt:lpstr>C-捷克天赐</vt:lpstr>
      <vt:lpstr>C-浙江天硕</vt:lpstr>
      <vt:lpstr>合并制造费用11</vt:lpstr>
      <vt:lpstr>Z-高新</vt:lpstr>
      <vt:lpstr>Z-九江</vt:lpstr>
      <vt:lpstr>Z-天祺</vt:lpstr>
      <vt:lpstr>Z-池州天赐</vt:lpstr>
      <vt:lpstr>Z-安徽天孚</vt:lpstr>
      <vt:lpstr>Z-中硝</vt:lpstr>
      <vt:lpstr>Z-天津</vt:lpstr>
      <vt:lpstr>Z-宁德</vt:lpstr>
      <vt:lpstr>Z-有机硅</vt:lpstr>
      <vt:lpstr>Z-宜春天赐</vt:lpstr>
      <vt:lpstr>Z-美思</vt:lpstr>
      <vt:lpstr>Z-上海吉慕特</vt:lpstr>
      <vt:lpstr>Z-张家港吉慕特</vt:lpstr>
      <vt:lpstr>Z-中天鸿锂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叶丽群</dc:creator>
  <cp:lastModifiedBy>橙子味橙汁</cp:lastModifiedBy>
  <dcterms:created xsi:type="dcterms:W3CDTF">2006-09-13T11:21:00Z</dcterms:created>
  <dcterms:modified xsi:type="dcterms:W3CDTF">2020-05-10T09:26:09Z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