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ladislavchernienko/Downloads/"/>
    </mc:Choice>
  </mc:AlternateContent>
  <xr:revisionPtr revIDLastSave="0" documentId="13_ncr:1_{DF07715B-0773-094F-AD7A-C4FB84F8EB0D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64" i="1" l="1"/>
  <c r="U65" i="1"/>
  <c r="U66" i="1"/>
  <c r="U67" i="1"/>
  <c r="U68" i="1"/>
  <c r="U69" i="1"/>
  <c r="U70" i="1"/>
  <c r="U63" i="1"/>
  <c r="V64" i="1"/>
  <c r="V65" i="1"/>
  <c r="V66" i="1"/>
  <c r="V67" i="1"/>
  <c r="V68" i="1"/>
  <c r="V69" i="1"/>
  <c r="V70" i="1"/>
  <c r="V63" i="1"/>
  <c r="Q64" i="1"/>
  <c r="Q65" i="1"/>
  <c r="Q66" i="1"/>
  <c r="Q67" i="1"/>
  <c r="Q68" i="1"/>
  <c r="Q69" i="1"/>
  <c r="Q70" i="1"/>
  <c r="Q63" i="1"/>
  <c r="R64" i="1"/>
  <c r="R65" i="1"/>
  <c r="R66" i="1"/>
  <c r="R67" i="1"/>
  <c r="R68" i="1"/>
  <c r="R69" i="1"/>
  <c r="R70" i="1"/>
  <c r="R63" i="1"/>
  <c r="V55" i="1"/>
  <c r="V56" i="1"/>
  <c r="V57" i="1"/>
  <c r="V58" i="1"/>
  <c r="V59" i="1"/>
  <c r="V60" i="1"/>
  <c r="V61" i="1"/>
  <c r="V54" i="1"/>
  <c r="R55" i="1"/>
  <c r="R56" i="1"/>
  <c r="R57" i="1"/>
  <c r="R58" i="1"/>
  <c r="R59" i="1"/>
  <c r="R60" i="1"/>
  <c r="R61" i="1"/>
  <c r="R54" i="1"/>
  <c r="G33" i="1"/>
  <c r="G34" i="1"/>
  <c r="G35" i="1"/>
  <c r="F51" i="1" s="1"/>
  <c r="G36" i="1"/>
  <c r="F52" i="1" s="1"/>
  <c r="G37" i="1"/>
  <c r="G32" i="1"/>
  <c r="F48" i="1" s="1"/>
  <c r="B33" i="1"/>
  <c r="B34" i="1"/>
  <c r="B35" i="1"/>
  <c r="F43" i="1" s="1"/>
  <c r="B36" i="1"/>
  <c r="F44" i="1" s="1"/>
  <c r="B37" i="1"/>
  <c r="F45" i="1" s="1"/>
  <c r="B32" i="1"/>
  <c r="F40" i="1" s="1"/>
  <c r="E48" i="1"/>
  <c r="E49" i="1"/>
  <c r="E50" i="1"/>
  <c r="E51" i="1"/>
  <c r="E52" i="1"/>
  <c r="E53" i="1"/>
  <c r="E47" i="1"/>
  <c r="F49" i="1"/>
  <c r="F50" i="1"/>
  <c r="F53" i="1"/>
  <c r="E40" i="1"/>
  <c r="E41" i="1"/>
  <c r="E42" i="1"/>
  <c r="E43" i="1"/>
  <c r="E44" i="1"/>
  <c r="E45" i="1"/>
  <c r="E39" i="1"/>
  <c r="F41" i="1"/>
  <c r="F42" i="1"/>
  <c r="F39" i="1"/>
  <c r="G31" i="1"/>
  <c r="F47" i="1" s="1"/>
  <c r="B31" i="1"/>
  <c r="O19" i="1"/>
  <c r="L29" i="1"/>
  <c r="L30" i="1"/>
  <c r="L31" i="1"/>
  <c r="L32" i="1"/>
  <c r="L33" i="1"/>
  <c r="L34" i="1"/>
  <c r="L35" i="1"/>
  <c r="L28" i="1"/>
  <c r="M29" i="1"/>
  <c r="M30" i="1"/>
  <c r="M31" i="1"/>
  <c r="M32" i="1"/>
  <c r="M33" i="1"/>
  <c r="M34" i="1"/>
  <c r="M35" i="1"/>
  <c r="M28" i="1"/>
  <c r="N19" i="1"/>
  <c r="J19" i="1"/>
  <c r="J20" i="1"/>
  <c r="J21" i="1"/>
  <c r="J22" i="1"/>
  <c r="J23" i="1"/>
  <c r="J24" i="1"/>
  <c r="J25" i="1"/>
  <c r="J26" i="1"/>
  <c r="L26" i="1"/>
  <c r="L20" i="1"/>
  <c r="L21" i="1"/>
  <c r="L22" i="1"/>
  <c r="L23" i="1"/>
  <c r="L24" i="1"/>
  <c r="L25" i="1"/>
  <c r="L19" i="1"/>
  <c r="K20" i="1"/>
  <c r="K21" i="1"/>
  <c r="K22" i="1"/>
  <c r="K23" i="1"/>
  <c r="K24" i="1"/>
  <c r="K25" i="1"/>
  <c r="K26" i="1"/>
  <c r="K19" i="1"/>
  <c r="I20" i="1"/>
  <c r="I21" i="1"/>
  <c r="I22" i="1"/>
  <c r="I23" i="1"/>
  <c r="I24" i="1"/>
  <c r="I25" i="1"/>
  <c r="I26" i="1"/>
  <c r="I19" i="1"/>
  <c r="H20" i="1"/>
  <c r="H21" i="1"/>
  <c r="H22" i="1"/>
  <c r="H23" i="1"/>
  <c r="H24" i="1"/>
  <c r="H25" i="1"/>
  <c r="H26" i="1"/>
  <c r="H19" i="1"/>
  <c r="P9" i="1"/>
  <c r="R10" i="1"/>
  <c r="R11" i="1"/>
  <c r="R12" i="1"/>
  <c r="R13" i="1"/>
  <c r="R14" i="1"/>
  <c r="R15" i="1"/>
  <c r="R16" i="1"/>
  <c r="R9" i="1"/>
  <c r="Q10" i="1"/>
  <c r="Q11" i="1"/>
  <c r="Q12" i="1"/>
  <c r="Q13" i="1"/>
  <c r="Q14" i="1"/>
  <c r="Q15" i="1"/>
  <c r="Q16" i="1"/>
  <c r="Q9" i="1"/>
  <c r="O9" i="1"/>
  <c r="N10" i="1"/>
  <c r="N11" i="1"/>
  <c r="N12" i="1"/>
  <c r="N13" i="1"/>
  <c r="N14" i="1"/>
  <c r="N15" i="1"/>
  <c r="N16" i="1"/>
  <c r="N9" i="1"/>
  <c r="M10" i="1"/>
  <c r="M11" i="1"/>
  <c r="M12" i="1"/>
  <c r="M13" i="1"/>
  <c r="M14" i="1"/>
  <c r="M15" i="1"/>
  <c r="M16" i="1"/>
  <c r="M9" i="1"/>
  <c r="L10" i="1"/>
  <c r="L11" i="1"/>
  <c r="L12" i="1"/>
  <c r="L13" i="1"/>
  <c r="L14" i="1"/>
  <c r="L15" i="1"/>
  <c r="L16" i="1"/>
  <c r="L9" i="1"/>
  <c r="I10" i="1"/>
  <c r="I11" i="1"/>
  <c r="I12" i="1"/>
  <c r="I13" i="1"/>
  <c r="I14" i="1"/>
  <c r="I15" i="1"/>
  <c r="I16" i="1"/>
  <c r="I9" i="1"/>
  <c r="J14" i="1"/>
  <c r="J15" i="1"/>
  <c r="J16" i="1"/>
  <c r="J13" i="1"/>
  <c r="J11" i="1"/>
  <c r="J12" i="1"/>
  <c r="J10" i="1"/>
  <c r="J9" i="1"/>
  <c r="H10" i="1"/>
  <c r="H11" i="1"/>
  <c r="H12" i="1"/>
  <c r="H13" i="1"/>
  <c r="H14" i="1"/>
  <c r="H15" i="1"/>
  <c r="H16" i="1"/>
  <c r="H9" i="1"/>
  <c r="B26" i="1"/>
  <c r="B25" i="1"/>
  <c r="B24" i="1"/>
  <c r="B23" i="1"/>
  <c r="B22" i="1"/>
  <c r="B21" i="1"/>
  <c r="B20" i="1"/>
  <c r="B19" i="1"/>
  <c r="B16" i="1"/>
  <c r="B15" i="1"/>
  <c r="B14" i="1"/>
  <c r="B13" i="1"/>
  <c r="B12" i="1"/>
  <c r="B11" i="1"/>
  <c r="B10" i="1"/>
  <c r="B9" i="1"/>
</calcChain>
</file>

<file path=xl/sharedStrings.xml><?xml version="1.0" encoding="utf-8"?>
<sst xmlns="http://schemas.openxmlformats.org/spreadsheetml/2006/main" count="62" uniqueCount="38">
  <si>
    <t>L = 50mGn</t>
  </si>
  <si>
    <t>L = 500mGn</t>
  </si>
  <si>
    <t>x1</t>
  </si>
  <si>
    <t>x2</t>
  </si>
  <si>
    <t>r, om</t>
  </si>
  <si>
    <t>psi</t>
  </si>
  <si>
    <t>psi, grad</t>
  </si>
  <si>
    <t>x0</t>
  </si>
  <si>
    <t>x</t>
  </si>
  <si>
    <t>2x1</t>
  </si>
  <si>
    <t>4x1</t>
  </si>
  <si>
    <t>5x1</t>
  </si>
  <si>
    <t>6x1</t>
  </si>
  <si>
    <t>8x1</t>
  </si>
  <si>
    <t>9x1</t>
  </si>
  <si>
    <t>10x1</t>
  </si>
  <si>
    <t>psi, experiment</t>
  </si>
  <si>
    <t>2x2</t>
  </si>
  <si>
    <t>4x2</t>
  </si>
  <si>
    <t>5x2</t>
  </si>
  <si>
    <t>6x2</t>
  </si>
  <si>
    <t>8x2</t>
  </si>
  <si>
    <t>9x2</t>
  </si>
  <si>
    <t>10x2</t>
  </si>
  <si>
    <t>v0, gz</t>
  </si>
  <si>
    <t>1006, 58</t>
  </si>
  <si>
    <t>v0, experiment</t>
  </si>
  <si>
    <t>r = 100 om</t>
  </si>
  <si>
    <t>v, gz</t>
  </si>
  <si>
    <t>c = 0,5 mkFr</t>
  </si>
  <si>
    <t>v = 1 kGz</t>
  </si>
  <si>
    <t>r</t>
  </si>
  <si>
    <t>pi/2</t>
  </si>
  <si>
    <t>R = 0 Ом</t>
  </si>
  <si>
    <t>R = 100 Ом</t>
  </si>
  <si>
    <t>nu, Гц</t>
  </si>
  <si>
    <t>x_0</t>
  </si>
  <si>
    <t>|psi|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</si>
</sst>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9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Лист1!$M$9:$M$16</c:f>
              <c:numCache>
                <c:formatCode>0.00</c:formatCode>
                <c:ptCount val="8"/>
                <c:pt idx="0">
                  <c:v>0.96250538250695938</c:v>
                </c:pt>
                <c:pt idx="1">
                  <c:v>0.49044737457840526</c:v>
                </c:pt>
                <c:pt idx="2">
                  <c:v>0.24758887017273618</c:v>
                </c:pt>
                <c:pt idx="3">
                  <c:v>0.19845391380583968</c:v>
                </c:pt>
                <c:pt idx="4">
                  <c:v>0.16559162394726859</c:v>
                </c:pt>
                <c:pt idx="5">
                  <c:v>0.12439432683395726</c:v>
                </c:pt>
                <c:pt idx="6">
                  <c:v>0.11063230271510624</c:v>
                </c:pt>
                <c:pt idx="7">
                  <c:v>9.9612002831756086E-2</c:v>
                </c:pt>
              </c:numCache>
            </c:numRef>
          </c:xVal>
          <c:yVal>
            <c:numRef>
              <c:f>Лист1!$N$9:$N$16</c:f>
              <c:numCache>
                <c:formatCode>0.00</c:formatCode>
                <c:ptCount val="8"/>
                <c:pt idx="0">
                  <c:v>0.93906130734769444</c:v>
                </c:pt>
                <c:pt idx="1">
                  <c:v>0.60811283913393044</c:v>
                </c:pt>
                <c:pt idx="2">
                  <c:v>0.27392805757548083</c:v>
                </c:pt>
                <c:pt idx="3">
                  <c:v>0.20780220907993271</c:v>
                </c:pt>
                <c:pt idx="4">
                  <c:v>0.18693223555997629</c:v>
                </c:pt>
                <c:pt idx="5">
                  <c:v>0.12382672930472824</c:v>
                </c:pt>
                <c:pt idx="6">
                  <c:v>0.12382672930472824</c:v>
                </c:pt>
                <c:pt idx="7">
                  <c:v>9.2663567525119228E-2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8C-C14D-B562-D7D5429B1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835167"/>
        <c:axId val="1207726351"/>
      </c:scatterChart>
      <c:valAx>
        <c:axId val="123083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1/wCR_sum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7726351"/>
        <c:crosses val="autoZero"/>
        <c:crossBetween val="midCat"/>
      </c:valAx>
      <c:valAx>
        <c:axId val="120772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tan(psi)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083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Лист1!$L$19:$L$26</c:f>
              <c:numCache>
                <c:formatCode>0.00</c:formatCode>
                <c:ptCount val="8"/>
                <c:pt idx="0">
                  <c:v>0.96202830116456761</c:v>
                </c:pt>
                <c:pt idx="1">
                  <c:v>0.49032335598500432</c:v>
                </c:pt>
                <c:pt idx="2">
                  <c:v>0.24755720089895006</c:v>
                </c:pt>
                <c:pt idx="3">
                  <c:v>0.19843354735203178</c:v>
                </c:pt>
                <c:pt idx="4">
                  <c:v>0.16557743046368784</c:v>
                </c:pt>
                <c:pt idx="5">
                  <c:v>0.1243863019426117</c:v>
                </c:pt>
                <c:pt idx="6">
                  <c:v>0.11062594922021768</c:v>
                </c:pt>
                <c:pt idx="7">
                  <c:v>9.9606847199896001E-2</c:v>
                </c:pt>
              </c:numCache>
            </c:numRef>
          </c:xVal>
          <c:yVal>
            <c:numRef>
              <c:f>Лист1!$M$19:$M$26</c:f>
              <c:numCache>
                <c:formatCode>0.00</c:formatCode>
                <c:ptCount val="8"/>
                <c:pt idx="0">
                  <c:v>4.2733177896656382</c:v>
                </c:pt>
                <c:pt idx="1">
                  <c:v>3.1598533779656512</c:v>
                </c:pt>
                <c:pt idx="2">
                  <c:v>1.6820674698493736</c:v>
                </c:pt>
                <c:pt idx="3">
                  <c:v>1.4216955073963844</c:v>
                </c:pt>
                <c:pt idx="4">
                  <c:v>1.2125692325168869</c:v>
                </c:pt>
                <c:pt idx="5">
                  <c:v>0.96240224955035281</c:v>
                </c:pt>
                <c:pt idx="6">
                  <c:v>0.82469294961020478</c:v>
                </c:pt>
                <c:pt idx="7">
                  <c:v>0.70338351303321045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06-7F42-91FF-93DA9DF23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510079"/>
        <c:axId val="1230753231"/>
      </c:scatterChart>
      <c:valAx>
        <c:axId val="119051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wL/</a:t>
                </a:r>
                <a:r>
                  <a:rPr lang="en-US" baseline="0"/>
                  <a:t>R_sum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0753231"/>
        <c:crosses val="autoZero"/>
        <c:crossBetween val="midCat"/>
      </c:valAx>
      <c:valAx>
        <c:axId val="123075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tan(psi)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051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Лист1!$E$39:$E$45</c:f>
              <c:numCache>
                <c:formatCode>0.00</c:formatCode>
                <c:ptCount val="7"/>
                <c:pt idx="0">
                  <c:v>0.92353525322740815</c:v>
                </c:pt>
                <c:pt idx="1">
                  <c:v>0.94836146971201585</c:v>
                </c:pt>
                <c:pt idx="2">
                  <c:v>0.97318768619662366</c:v>
                </c:pt>
                <c:pt idx="3">
                  <c:v>0.99801390268123136</c:v>
                </c:pt>
                <c:pt idx="4">
                  <c:v>1.0228401191658392</c:v>
                </c:pt>
                <c:pt idx="5">
                  <c:v>1.047666335650447</c:v>
                </c:pt>
                <c:pt idx="6">
                  <c:v>1.0724925521350546</c:v>
                </c:pt>
              </c:numCache>
            </c:numRef>
          </c:xVal>
          <c:yVal>
            <c:numRef>
              <c:f>Лист1!$F$39:$F$45</c:f>
              <c:numCache>
                <c:formatCode>0.00</c:formatCode>
                <c:ptCount val="7"/>
                <c:pt idx="0">
                  <c:v>0.22641509433962262</c:v>
                </c:pt>
                <c:pt idx="1">
                  <c:v>0.15094339622641512</c:v>
                </c:pt>
                <c:pt idx="2">
                  <c:v>5.7692307692307689E-2</c:v>
                </c:pt>
                <c:pt idx="3">
                  <c:v>0.19148936170212763</c:v>
                </c:pt>
                <c:pt idx="4">
                  <c:v>0.36363636363636365</c:v>
                </c:pt>
                <c:pt idx="5">
                  <c:v>0.43749999999999989</c:v>
                </c:pt>
                <c:pt idx="6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85-E443-B2B9-727CA86F9E7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Лист1!$E$47:$E$53</c:f>
              <c:numCache>
                <c:formatCode>0.00</c:formatCode>
                <c:ptCount val="7"/>
                <c:pt idx="0">
                  <c:v>0.92353525322740815</c:v>
                </c:pt>
                <c:pt idx="1">
                  <c:v>0.94836146971201585</c:v>
                </c:pt>
                <c:pt idx="2">
                  <c:v>0.97318768619662366</c:v>
                </c:pt>
                <c:pt idx="3">
                  <c:v>0.99801390268123136</c:v>
                </c:pt>
                <c:pt idx="4">
                  <c:v>1.0228401191658392</c:v>
                </c:pt>
                <c:pt idx="5">
                  <c:v>1.047666335650447</c:v>
                </c:pt>
                <c:pt idx="6">
                  <c:v>1.0724925521350546</c:v>
                </c:pt>
              </c:numCache>
            </c:numRef>
          </c:xVal>
          <c:yVal>
            <c:numRef>
              <c:f>Лист1!$F$47:$F$53</c:f>
              <c:numCache>
                <c:formatCode>0.00</c:formatCode>
                <c:ptCount val="7"/>
                <c:pt idx="0">
                  <c:v>7.6923076923076927E-2</c:v>
                </c:pt>
                <c:pt idx="1">
                  <c:v>5.7692307692307689E-2</c:v>
                </c:pt>
                <c:pt idx="2">
                  <c:v>1.9230769230769232E-2</c:v>
                </c:pt>
                <c:pt idx="3">
                  <c:v>8.3333333333333343E-2</c:v>
                </c:pt>
                <c:pt idx="4">
                  <c:v>0.25641025641025644</c:v>
                </c:pt>
                <c:pt idx="5">
                  <c:v>0.34375</c:v>
                </c:pt>
                <c:pt idx="6">
                  <c:v>0.41935483870967744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85-E443-B2B9-727CA86F9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487167"/>
        <c:axId val="1255640591"/>
      </c:scatterChart>
      <c:valAx>
        <c:axId val="125348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5640591"/>
        <c:crosses val="autoZero"/>
        <c:crossBetween val="midCat"/>
      </c:valAx>
      <c:valAx>
        <c:axId val="125564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3487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Лист1!$Q$63:$Q$70</c:f>
              <c:numCache>
                <c:formatCode>General</c:formatCode>
                <c:ptCount val="8"/>
                <c:pt idx="0">
                  <c:v>0.86395233366434954</c:v>
                </c:pt>
                <c:pt idx="1">
                  <c:v>0.89374379344587884</c:v>
                </c:pt>
                <c:pt idx="2">
                  <c:v>0.92353525322740815</c:v>
                </c:pt>
                <c:pt idx="3">
                  <c:v>0.95332671300893745</c:v>
                </c:pt>
                <c:pt idx="4">
                  <c:v>0.99304865938430986</c:v>
                </c:pt>
                <c:pt idx="5">
                  <c:v>1.0228401191658392</c:v>
                </c:pt>
                <c:pt idx="6">
                  <c:v>1.0526315789473684</c:v>
                </c:pt>
                <c:pt idx="7">
                  <c:v>1.0824230387288978</c:v>
                </c:pt>
              </c:numCache>
            </c:numRef>
          </c:xVal>
          <c:yVal>
            <c:numRef>
              <c:f>Лист1!$R$63:$R$70</c:f>
              <c:numCache>
                <c:formatCode>General</c:formatCode>
                <c:ptCount val="8"/>
                <c:pt idx="0">
                  <c:v>0.34482758620689657</c:v>
                </c:pt>
                <c:pt idx="1">
                  <c:v>0.32142857142857145</c:v>
                </c:pt>
                <c:pt idx="2">
                  <c:v>0.22222222222222221</c:v>
                </c:pt>
                <c:pt idx="3">
                  <c:v>0.15384615384615385</c:v>
                </c:pt>
                <c:pt idx="4">
                  <c:v>0.02</c:v>
                </c:pt>
                <c:pt idx="5">
                  <c:v>0.16666666666666669</c:v>
                </c:pt>
                <c:pt idx="6">
                  <c:v>0.25</c:v>
                </c:pt>
                <c:pt idx="7">
                  <c:v>0.30434782608695654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3C-4D41-80E2-32CE396289F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Лист1!$U$63:$U$70</c:f>
              <c:numCache>
                <c:formatCode>0.000000</c:formatCode>
                <c:ptCount val="8"/>
                <c:pt idx="0">
                  <c:v>0.79443892750744782</c:v>
                </c:pt>
                <c:pt idx="1">
                  <c:v>0.84409136047666333</c:v>
                </c:pt>
                <c:pt idx="2">
                  <c:v>0.89374379344587884</c:v>
                </c:pt>
                <c:pt idx="3">
                  <c:v>0.94339622641509435</c:v>
                </c:pt>
                <c:pt idx="4">
                  <c:v>0.99304865938430986</c:v>
                </c:pt>
                <c:pt idx="5">
                  <c:v>1.0427010923535254</c:v>
                </c:pt>
                <c:pt idx="6">
                  <c:v>1.0923535253227408</c:v>
                </c:pt>
                <c:pt idx="7">
                  <c:v>1.1420059582919564</c:v>
                </c:pt>
              </c:numCache>
            </c:numRef>
          </c:xVal>
          <c:yVal>
            <c:numRef>
              <c:f>Лист1!$V$63:$V$70</c:f>
              <c:numCache>
                <c:formatCode>0.000000</c:formatCode>
                <c:ptCount val="8"/>
                <c:pt idx="0">
                  <c:v>0.25806451612903225</c:v>
                </c:pt>
                <c:pt idx="1">
                  <c:v>0.19999999999999998</c:v>
                </c:pt>
                <c:pt idx="2">
                  <c:v>0.14285714285714288</c:v>
                </c:pt>
                <c:pt idx="3">
                  <c:v>0.08</c:v>
                </c:pt>
                <c:pt idx="4">
                  <c:v>0</c:v>
                </c:pt>
                <c:pt idx="5">
                  <c:v>8.3333333333333343E-2</c:v>
                </c:pt>
                <c:pt idx="6">
                  <c:v>0.16666666666666669</c:v>
                </c:pt>
                <c:pt idx="7">
                  <c:v>0.27272727272727271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3C-4D41-80E2-32CE39628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234991"/>
        <c:axId val="1255448287"/>
      </c:scatterChart>
      <c:valAx>
        <c:axId val="1253234991"/>
        <c:scaling>
          <c:orientation val="minMax"/>
          <c:min val="0.750000000000000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nu/nu_0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5448287"/>
        <c:crosses val="autoZero"/>
        <c:crossBetween val="midCat"/>
      </c:valAx>
      <c:valAx>
        <c:axId val="125544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|psi|/pi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323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285977</xdr:colOff>
      <xdr:row>4</xdr:row>
      <xdr:rowOff>177070</xdr:rowOff>
    </xdr:from>
    <xdr:to>
      <xdr:col>24</xdr:col>
      <xdr:colOff>794890</xdr:colOff>
      <xdr:row>23</xdr:row>
      <xdr:rowOff>155324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E4181DA-ECAF-CAFF-ECDB-674B09BEB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295114</xdr:colOff>
      <xdr:row>24</xdr:row>
      <xdr:rowOff>167932</xdr:rowOff>
    </xdr:from>
    <xdr:to>
      <xdr:col>24</xdr:col>
      <xdr:colOff>794891</xdr:colOff>
      <xdr:row>46</xdr:row>
      <xdr:rowOff>45683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64E825E-3122-2D7E-8DE5-35B913968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952956</xdr:colOff>
      <xdr:row>39</xdr:row>
      <xdr:rowOff>21745</xdr:rowOff>
    </xdr:from>
    <xdr:to>
      <xdr:col>11</xdr:col>
      <xdr:colOff>609416</xdr:colOff>
      <xdr:row>53</xdr:row>
      <xdr:rowOff>160989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07AF1E9-77C5-771E-AE37-E4BD5EE14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395618</xdr:colOff>
      <xdr:row>51</xdr:row>
      <xdr:rowOff>3473</xdr:rowOff>
    </xdr:from>
    <xdr:to>
      <xdr:col>29</xdr:col>
      <xdr:colOff>27410</xdr:colOff>
      <xdr:row>71</xdr:row>
      <xdr:rowOff>9135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66E772C-147F-800D-AA0A-30541E713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70"/>
  <sheetViews>
    <sheetView tabSelected="1" topLeftCell="A5" zoomScale="139" workbookViewId="0">
      <selection activeCell="AD57" sqref="AD57"/>
    </sheetView>
  </sheetViews>
  <sheetFormatPr baseColWidth="10" defaultColWidth="12.6640625" defaultRowHeight="15.75" customHeight="1" x14ac:dyDescent="0.15"/>
  <cols>
    <col min="11" max="11" width="13.6640625" bestFit="1" customWidth="1"/>
    <col min="15" max="15" width="7" customWidth="1"/>
    <col min="16" max="16" width="5.83203125" customWidth="1"/>
    <col min="17" max="17" width="10.5" customWidth="1"/>
    <col min="18" max="18" width="9.83203125" customWidth="1"/>
    <col min="19" max="19" width="6" customWidth="1"/>
    <col min="20" max="20" width="5.1640625" customWidth="1"/>
    <col min="21" max="21" width="10.1640625" customWidth="1"/>
    <col min="22" max="22" width="10.5" customWidth="1"/>
  </cols>
  <sheetData>
    <row r="1" spans="1:18" ht="15.75" customHeight="1" x14ac:dyDescent="0.15">
      <c r="A1" s="1" t="s">
        <v>0</v>
      </c>
    </row>
    <row r="2" spans="1:18" ht="15.75" customHeight="1" x14ac:dyDescent="0.15">
      <c r="A2" s="1" t="s">
        <v>1</v>
      </c>
    </row>
    <row r="4" spans="1:18" ht="15.75" customHeight="1" x14ac:dyDescent="0.15">
      <c r="A4" s="1"/>
    </row>
    <row r="5" spans="1:18" ht="15.75" customHeight="1" x14ac:dyDescent="0.15">
      <c r="A5" s="1" t="s">
        <v>2</v>
      </c>
      <c r="B5" s="1">
        <v>318.31</v>
      </c>
    </row>
    <row r="6" spans="1:18" ht="15.75" customHeight="1" x14ac:dyDescent="0.15">
      <c r="A6" s="1" t="s">
        <v>3</v>
      </c>
      <c r="B6" s="1">
        <v>314.15899999999999</v>
      </c>
    </row>
    <row r="7" spans="1:18" ht="15.75" customHeight="1" x14ac:dyDescent="0.15">
      <c r="B7" s="1"/>
    </row>
    <row r="8" spans="1:18" ht="15.75" customHeight="1" x14ac:dyDescent="0.15">
      <c r="A8" s="1" t="s">
        <v>4</v>
      </c>
      <c r="B8" s="1" t="s">
        <v>4</v>
      </c>
      <c r="C8" s="1" t="s">
        <v>5</v>
      </c>
      <c r="D8" s="1" t="s">
        <v>6</v>
      </c>
      <c r="F8" s="1" t="s">
        <v>7</v>
      </c>
      <c r="G8" s="1" t="s">
        <v>8</v>
      </c>
      <c r="H8" s="1" t="s">
        <v>5</v>
      </c>
    </row>
    <row r="9" spans="1:18" ht="15.75" customHeight="1" x14ac:dyDescent="0.15">
      <c r="A9" s="1" t="s">
        <v>2</v>
      </c>
      <c r="B9" s="1">
        <f>1*B5</f>
        <v>318.31</v>
      </c>
      <c r="C9" s="1">
        <v>1.5708</v>
      </c>
      <c r="D9" s="1">
        <v>90</v>
      </c>
      <c r="F9" s="1">
        <v>5</v>
      </c>
      <c r="G9" s="1">
        <v>1.2</v>
      </c>
      <c r="H9" s="1">
        <f>G9/F9 * 3.14159</f>
        <v>0.75398159999999992</v>
      </c>
      <c r="I9" s="3">
        <f>TAN(H9)</f>
        <v>0.93906130734769444</v>
      </c>
      <c r="J9">
        <f>H9*SQRT((0.1/F9)^2 + (0.1/G9)^2)</f>
        <v>6.4616022722660857E-2</v>
      </c>
      <c r="K9" s="3"/>
      <c r="L9">
        <f>B9+12.4</f>
        <v>330.71</v>
      </c>
      <c r="M9" s="3">
        <f>1/(2*3.14159*1000*0.5*10^(-6)*L9)</f>
        <v>0.96250538250695938</v>
      </c>
      <c r="N9" s="3">
        <f>TAN(H9)</f>
        <v>0.93906130734769444</v>
      </c>
      <c r="O9" s="3">
        <f>SLOPE(N9:N16,M9:M16)</f>
        <v>1.0011217152290108</v>
      </c>
      <c r="P9" s="3">
        <f>(1/SQRT(8))*SQRT((AVERAGE(R9:R16) - AVERAGE(N9:N16)^2)/(AVERAGE(Q9:Q16) - AVERAGE(M9:M16)^2) - O9^2)</f>
        <v>5.1032642405803436E-2</v>
      </c>
      <c r="Q9" s="3">
        <f>M9^2</f>
        <v>0.92641661135486819</v>
      </c>
      <c r="R9" s="3">
        <f>N9^2</f>
        <v>0.88183613895756108</v>
      </c>
    </row>
    <row r="10" spans="1:18" ht="15.75" customHeight="1" x14ac:dyDescent="0.15">
      <c r="A10" s="1" t="s">
        <v>9</v>
      </c>
      <c r="B10" s="1">
        <f>2*B5</f>
        <v>636.62</v>
      </c>
      <c r="C10" s="1">
        <v>0.92729499999999998</v>
      </c>
      <c r="D10" s="1">
        <v>53</v>
      </c>
      <c r="F10" s="1">
        <v>4.5999999999999996</v>
      </c>
      <c r="G10" s="1">
        <v>0.8</v>
      </c>
      <c r="H10" s="1">
        <f t="shared" ref="H10:H16" si="0">G10/F10 * 3.14159</f>
        <v>0.54636347826086962</v>
      </c>
      <c r="I10" s="3">
        <f t="shared" ref="I10:I16" si="1">TAN(H10)</f>
        <v>0.60811283913393044</v>
      </c>
      <c r="J10">
        <f>H10*SQRT((0.1/F10)^2 + (0.1/G10)^2)</f>
        <v>6.9320564283268188E-2</v>
      </c>
      <c r="K10" s="3"/>
      <c r="L10">
        <f t="shared" ref="L10:L16" si="2">B10+12.4</f>
        <v>649.02</v>
      </c>
      <c r="M10" s="3">
        <f t="shared" ref="M10:M16" si="3">1/(2*3.14159*1000*0.5*10^(-6)*L10)</f>
        <v>0.49044737457840526</v>
      </c>
      <c r="N10" s="3">
        <f t="shared" ref="N10:N16" si="4">TAN(H10)</f>
        <v>0.60811283913393044</v>
      </c>
      <c r="Q10" s="3">
        <f t="shared" ref="Q10:Q16" si="5">M10^2</f>
        <v>0.24053862723085057</v>
      </c>
      <c r="R10" s="3">
        <f t="shared" ref="R10:R16" si="6">N10^2</f>
        <v>0.36980122511952956</v>
      </c>
    </row>
    <row r="11" spans="1:18" ht="15.75" customHeight="1" x14ac:dyDescent="0.15">
      <c r="A11" s="1" t="s">
        <v>10</v>
      </c>
      <c r="B11" s="1">
        <f>4*B5</f>
        <v>1273.24</v>
      </c>
      <c r="C11" s="1">
        <v>0.48995699999999998</v>
      </c>
      <c r="D11" s="1">
        <v>28</v>
      </c>
      <c r="F11" s="1">
        <v>4.7</v>
      </c>
      <c r="G11" s="1">
        <v>0.4</v>
      </c>
      <c r="H11" s="1">
        <f t="shared" si="0"/>
        <v>0.26736936170212766</v>
      </c>
      <c r="I11" s="3">
        <f t="shared" si="1"/>
        <v>0.27392805757548083</v>
      </c>
      <c r="J11">
        <f>H11*SQRT((0.1/F11)^2 + (0.1/G11)^2)</f>
        <v>6.7083976425209843E-2</v>
      </c>
      <c r="K11" s="3"/>
      <c r="L11">
        <f t="shared" si="2"/>
        <v>1285.6400000000001</v>
      </c>
      <c r="M11" s="3">
        <f t="shared" si="3"/>
        <v>0.24758887017273618</v>
      </c>
      <c r="N11" s="3">
        <f t="shared" si="4"/>
        <v>0.27392805757548083</v>
      </c>
      <c r="Q11" s="3">
        <f t="shared" si="5"/>
        <v>6.1300248633412012E-2</v>
      </c>
      <c r="R11" s="3">
        <f t="shared" si="6"/>
        <v>7.5036580727075947E-2</v>
      </c>
    </row>
    <row r="12" spans="1:18" ht="15.75" customHeight="1" x14ac:dyDescent="0.15">
      <c r="A12" s="1" t="s">
        <v>11</v>
      </c>
      <c r="B12" s="1">
        <f>5*B5</f>
        <v>1591.55</v>
      </c>
      <c r="C12" s="1">
        <v>0.394791</v>
      </c>
      <c r="D12" s="1">
        <v>22</v>
      </c>
      <c r="F12" s="1">
        <v>4.5999999999999996</v>
      </c>
      <c r="G12" s="1">
        <v>0.3</v>
      </c>
      <c r="H12" s="1">
        <f t="shared" si="0"/>
        <v>0.20488630434782606</v>
      </c>
      <c r="I12" s="3">
        <f t="shared" si="1"/>
        <v>0.20780220907993271</v>
      </c>
      <c r="J12">
        <f>H12*SQRT((0.1/F12)^2 + (0.1/G12)^2)</f>
        <v>6.8440521435696511E-2</v>
      </c>
      <c r="K12" s="3"/>
      <c r="L12">
        <f t="shared" si="2"/>
        <v>1603.95</v>
      </c>
      <c r="M12" s="3">
        <f t="shared" si="3"/>
        <v>0.19845391380583968</v>
      </c>
      <c r="N12" s="3">
        <f t="shared" si="4"/>
        <v>0.20780220907993271</v>
      </c>
      <c r="Q12" s="3">
        <f t="shared" si="5"/>
        <v>3.9383955904855647E-2</v>
      </c>
      <c r="R12" s="3">
        <f t="shared" si="6"/>
        <v>4.318175809850007E-2</v>
      </c>
    </row>
    <row r="13" spans="1:18" ht="15.75" customHeight="1" x14ac:dyDescent="0.15">
      <c r="A13" s="1" t="s">
        <v>12</v>
      </c>
      <c r="B13" s="1">
        <f>6*B5</f>
        <v>1909.8600000000001</v>
      </c>
      <c r="C13" s="1">
        <v>0.33029700000000001</v>
      </c>
      <c r="D13" s="1">
        <v>18</v>
      </c>
      <c r="F13" s="1">
        <v>10.199999999999999</v>
      </c>
      <c r="G13" s="1">
        <v>0.6</v>
      </c>
      <c r="H13" s="1">
        <f t="shared" si="0"/>
        <v>0.18479941176470588</v>
      </c>
      <c r="I13" s="3">
        <f t="shared" si="1"/>
        <v>0.18693223555997629</v>
      </c>
      <c r="J13">
        <f>H13*SQRT((0.05/F13)^2 + (0.05/G13)^2)</f>
        <v>1.5426571485966186E-2</v>
      </c>
      <c r="K13" s="3"/>
      <c r="L13">
        <f t="shared" si="2"/>
        <v>1922.2600000000002</v>
      </c>
      <c r="M13" s="3">
        <f t="shared" si="3"/>
        <v>0.16559162394726859</v>
      </c>
      <c r="N13" s="3">
        <f t="shared" si="4"/>
        <v>0.18693223555997629</v>
      </c>
      <c r="Q13" s="3">
        <f t="shared" si="5"/>
        <v>2.7420585921493615E-2</v>
      </c>
      <c r="R13" s="3">
        <f t="shared" si="6"/>
        <v>3.4943660691450461E-2</v>
      </c>
    </row>
    <row r="14" spans="1:18" ht="15.75" customHeight="1" x14ac:dyDescent="0.15">
      <c r="A14" s="1" t="s">
        <v>13</v>
      </c>
      <c r="B14" s="1">
        <f>8*B5</f>
        <v>2546.48</v>
      </c>
      <c r="C14" s="1">
        <v>0.24870999999999999</v>
      </c>
      <c r="D14" s="1">
        <v>14</v>
      </c>
      <c r="F14" s="1">
        <v>10.199999999999999</v>
      </c>
      <c r="G14" s="1">
        <v>0.4</v>
      </c>
      <c r="H14" s="1">
        <f t="shared" si="0"/>
        <v>0.12319960784313727</v>
      </c>
      <c r="I14" s="3">
        <f t="shared" si="1"/>
        <v>0.12382672930472824</v>
      </c>
      <c r="J14">
        <f t="shared" ref="J14:J16" si="7">H14*SQRT((0.05/F14)^2 + (0.05/G14)^2)</f>
        <v>1.5411787992885716E-2</v>
      </c>
      <c r="K14" s="3"/>
      <c r="L14">
        <f t="shared" si="2"/>
        <v>2558.88</v>
      </c>
      <c r="M14" s="3">
        <f t="shared" si="3"/>
        <v>0.12439432683395726</v>
      </c>
      <c r="N14" s="3">
        <f t="shared" si="4"/>
        <v>0.12382672930472824</v>
      </c>
      <c r="Q14" s="3">
        <f t="shared" si="5"/>
        <v>1.5473948548473381E-2</v>
      </c>
      <c r="R14" s="3">
        <f t="shared" si="6"/>
        <v>1.5333058890306443E-2</v>
      </c>
    </row>
    <row r="15" spans="1:18" ht="15.75" customHeight="1" x14ac:dyDescent="0.15">
      <c r="A15" s="1" t="s">
        <v>14</v>
      </c>
      <c r="B15" s="1">
        <f>9*B5</f>
        <v>2864.79</v>
      </c>
      <c r="C15" s="1">
        <v>0.22131400000000001</v>
      </c>
      <c r="D15" s="1">
        <v>12</v>
      </c>
      <c r="F15" s="1">
        <v>10.199999999999999</v>
      </c>
      <c r="G15" s="1">
        <v>0.4</v>
      </c>
      <c r="H15" s="1">
        <f t="shared" si="0"/>
        <v>0.12319960784313727</v>
      </c>
      <c r="I15" s="3">
        <f t="shared" si="1"/>
        <v>0.12382672930472824</v>
      </c>
      <c r="J15">
        <f t="shared" si="7"/>
        <v>1.5411787992885716E-2</v>
      </c>
      <c r="K15" s="3"/>
      <c r="L15">
        <f t="shared" si="2"/>
        <v>2877.19</v>
      </c>
      <c r="M15" s="3">
        <f t="shared" si="3"/>
        <v>0.11063230271510624</v>
      </c>
      <c r="N15" s="3">
        <f t="shared" si="4"/>
        <v>0.12382672930472824</v>
      </c>
      <c r="Q15" s="3">
        <f t="shared" si="5"/>
        <v>1.2239506404046904E-2</v>
      </c>
      <c r="R15" s="3">
        <f t="shared" si="6"/>
        <v>1.5333058890306443E-2</v>
      </c>
    </row>
    <row r="16" spans="1:18" ht="15.75" customHeight="1" x14ac:dyDescent="0.15">
      <c r="A16" s="1" t="s">
        <v>15</v>
      </c>
      <c r="B16" s="1">
        <f>10*B5</f>
        <v>3183.1</v>
      </c>
      <c r="C16" s="1">
        <v>0.19933699999999999</v>
      </c>
      <c r="D16" s="1">
        <v>11</v>
      </c>
      <c r="F16" s="1">
        <v>10.199999999999999</v>
      </c>
      <c r="G16" s="1">
        <v>0.3</v>
      </c>
      <c r="H16" s="1">
        <f t="shared" si="0"/>
        <v>9.2399705882352939E-2</v>
      </c>
      <c r="I16" s="3">
        <f t="shared" si="1"/>
        <v>9.2663567525119228E-2</v>
      </c>
      <c r="J16">
        <f t="shared" si="7"/>
        <v>1.5406610418965209E-2</v>
      </c>
      <c r="K16" s="3"/>
      <c r="L16">
        <f t="shared" si="2"/>
        <v>3195.5</v>
      </c>
      <c r="M16" s="3">
        <f t="shared" si="3"/>
        <v>9.9612002831756086E-2</v>
      </c>
      <c r="N16" s="3">
        <f t="shared" si="4"/>
        <v>9.2663567525119228E-2</v>
      </c>
      <c r="Q16" s="3">
        <f t="shared" si="5"/>
        <v>9.9225511081537827E-3</v>
      </c>
      <c r="R16" s="3">
        <f t="shared" si="6"/>
        <v>8.5865367464823313E-3</v>
      </c>
    </row>
    <row r="18" spans="1:15" ht="15.75" customHeight="1" x14ac:dyDescent="0.15">
      <c r="A18" s="1" t="s">
        <v>4</v>
      </c>
      <c r="B18" s="1" t="s">
        <v>4</v>
      </c>
      <c r="C18" s="1" t="s">
        <v>5</v>
      </c>
      <c r="D18" s="1" t="s">
        <v>6</v>
      </c>
      <c r="E18" s="1" t="s">
        <v>16</v>
      </c>
      <c r="F18" s="1" t="s">
        <v>7</v>
      </c>
      <c r="G18" s="1" t="s">
        <v>8</v>
      </c>
      <c r="H18" s="1" t="s">
        <v>5</v>
      </c>
    </row>
    <row r="19" spans="1:15" ht="15.75" customHeight="1" x14ac:dyDescent="0.15">
      <c r="A19" s="1" t="s">
        <v>3</v>
      </c>
      <c r="B19" s="4">
        <f>1*B6</f>
        <v>314.15899999999999</v>
      </c>
      <c r="F19" s="1">
        <v>8.1999999999999993</v>
      </c>
      <c r="G19" s="1">
        <v>3.5</v>
      </c>
      <c r="H19" s="4">
        <f>G19/F19*3.14159</f>
        <v>1.3409225609756099</v>
      </c>
      <c r="I19" s="3">
        <f>H19*SQRT((0.1/F19)^2 + (0.1/G19)^2)</f>
        <v>4.1656046511647934E-2</v>
      </c>
      <c r="J19" s="3">
        <f>TAN(H19)</f>
        <v>4.2733177896656382</v>
      </c>
      <c r="K19" s="3">
        <f>TAN(I19)</f>
        <v>4.1680157468222699E-2</v>
      </c>
      <c r="L19" s="3">
        <f>(2*3.14159*50)/(B19+12.4)</f>
        <v>0.96202830116456761</v>
      </c>
      <c r="M19" s="3">
        <v>4.2733177896656382</v>
      </c>
      <c r="N19" s="3">
        <f>SLOPE(M19:M26,L19:L26)</f>
        <v>4.1980535689426368</v>
      </c>
      <c r="O19" s="3">
        <f>(1/SQRT(8))*SQRT((AVERAGE(M28:M35) - AVERAGE(M19:M26)^2)/(AVERAGE(L28:L35) - AVERAGE(L19:L26)^2) - N19^2)</f>
        <v>0.3277248215542094</v>
      </c>
    </row>
    <row r="20" spans="1:15" ht="15.75" customHeight="1" x14ac:dyDescent="0.15">
      <c r="A20" s="1" t="s">
        <v>17</v>
      </c>
      <c r="B20" s="4">
        <f>2*B6</f>
        <v>628.31799999999998</v>
      </c>
      <c r="F20" s="1">
        <v>8.1999999999999993</v>
      </c>
      <c r="G20" s="1">
        <v>3.3</v>
      </c>
      <c r="H20" s="4">
        <f t="shared" ref="H20:H26" si="8">G20/F20*3.14159</f>
        <v>1.2642984146341463</v>
      </c>
      <c r="I20" s="3">
        <f t="shared" ref="I20:I26" si="9">H20*SQRT((0.1/F20)^2 + (0.1/G20)^2)</f>
        <v>4.1298161020922666E-2</v>
      </c>
      <c r="J20" s="3">
        <f t="shared" ref="J20:J26" si="10">TAN(H20)</f>
        <v>3.1598533779656512</v>
      </c>
      <c r="K20" s="3">
        <f t="shared" ref="K20:K26" si="11">TAN(I20)</f>
        <v>4.1321655578476217E-2</v>
      </c>
      <c r="L20" s="3">
        <f t="shared" ref="L20:L25" si="12">(2*3.14159*50)/(B20+12.4)</f>
        <v>0.49032335598500432</v>
      </c>
      <c r="M20" s="3">
        <v>3.1598533779656512</v>
      </c>
    </row>
    <row r="21" spans="1:15" ht="15.75" customHeight="1" x14ac:dyDescent="0.15">
      <c r="A21" s="1" t="s">
        <v>18</v>
      </c>
      <c r="B21" s="4">
        <f>4*B6</f>
        <v>1256.636</v>
      </c>
      <c r="F21" s="1">
        <v>8.1999999999999993</v>
      </c>
      <c r="G21" s="1">
        <v>2.7</v>
      </c>
      <c r="H21" s="4">
        <f t="shared" si="8"/>
        <v>1.0344259756097562</v>
      </c>
      <c r="I21" s="3">
        <f t="shared" si="9"/>
        <v>4.0335492279204188E-2</v>
      </c>
      <c r="J21" s="3">
        <f t="shared" si="10"/>
        <v>1.6820674698493736</v>
      </c>
      <c r="K21" s="3">
        <f t="shared" si="11"/>
        <v>4.0357381159947282E-2</v>
      </c>
      <c r="L21" s="3">
        <f t="shared" si="12"/>
        <v>0.24755720089895006</v>
      </c>
      <c r="M21" s="3">
        <v>1.6820674698493736</v>
      </c>
    </row>
    <row r="22" spans="1:15" ht="15.75" customHeight="1" x14ac:dyDescent="0.15">
      <c r="A22" s="1" t="s">
        <v>19</v>
      </c>
      <c r="B22" s="4">
        <f>5*B6</f>
        <v>1570.7950000000001</v>
      </c>
      <c r="F22" s="1">
        <v>8.1999999999999993</v>
      </c>
      <c r="G22" s="1">
        <v>2.5</v>
      </c>
      <c r="H22" s="4">
        <f t="shared" si="8"/>
        <v>0.95780182926829283</v>
      </c>
      <c r="I22" s="3">
        <f t="shared" si="9"/>
        <v>4.0053080619848073E-2</v>
      </c>
      <c r="J22" s="3">
        <f t="shared" si="10"/>
        <v>1.4216955073963844</v>
      </c>
      <c r="K22" s="3">
        <f t="shared" si="11"/>
        <v>4.0074512748020541E-2</v>
      </c>
      <c r="L22" s="3">
        <f t="shared" si="12"/>
        <v>0.19843354735203178</v>
      </c>
      <c r="M22" s="3">
        <v>1.4216955073963844</v>
      </c>
    </row>
    <row r="23" spans="1:15" ht="15.75" customHeight="1" x14ac:dyDescent="0.15">
      <c r="A23" s="1" t="s">
        <v>20</v>
      </c>
      <c r="B23" s="4">
        <f>6*B6</f>
        <v>1884.954</v>
      </c>
      <c r="F23" s="1">
        <v>8.1999999999999993</v>
      </c>
      <c r="G23" s="1">
        <v>2.2999999999999998</v>
      </c>
      <c r="H23" s="4">
        <f t="shared" si="8"/>
        <v>0.8811776829268293</v>
      </c>
      <c r="I23" s="3">
        <f t="shared" si="9"/>
        <v>3.9790613919938017E-2</v>
      </c>
      <c r="J23" s="3">
        <f t="shared" si="10"/>
        <v>1.2125692325168869</v>
      </c>
      <c r="K23" s="3">
        <f t="shared" si="11"/>
        <v>3.9811627294415931E-2</v>
      </c>
      <c r="L23" s="3">
        <f t="shared" si="12"/>
        <v>0.16557743046368784</v>
      </c>
      <c r="M23" s="3">
        <v>1.2125692325168869</v>
      </c>
    </row>
    <row r="24" spans="1:15" ht="15.75" customHeight="1" x14ac:dyDescent="0.15">
      <c r="A24" s="1" t="s">
        <v>21</v>
      </c>
      <c r="B24" s="4">
        <f>8*B6</f>
        <v>2513.2719999999999</v>
      </c>
      <c r="F24" s="1">
        <v>8.1999999999999993</v>
      </c>
      <c r="G24" s="1">
        <v>2</v>
      </c>
      <c r="H24" s="4">
        <f t="shared" si="8"/>
        <v>0.76624146341463417</v>
      </c>
      <c r="I24" s="3">
        <f t="shared" si="9"/>
        <v>3.9435173553565753E-2</v>
      </c>
      <c r="J24" s="3">
        <f t="shared" si="10"/>
        <v>0.96240224955035281</v>
      </c>
      <c r="K24" s="3">
        <f t="shared" si="11"/>
        <v>3.9455628589890379E-2</v>
      </c>
      <c r="L24" s="3">
        <f t="shared" si="12"/>
        <v>0.1243863019426117</v>
      </c>
      <c r="M24" s="3">
        <v>0.96240224955035281</v>
      </c>
    </row>
    <row r="25" spans="1:15" ht="15.75" customHeight="1" x14ac:dyDescent="0.15">
      <c r="A25" s="1" t="s">
        <v>22</v>
      </c>
      <c r="B25" s="4">
        <f>9*B6</f>
        <v>2827.431</v>
      </c>
      <c r="F25" s="1">
        <v>8.1999999999999993</v>
      </c>
      <c r="G25" s="1">
        <v>1.8</v>
      </c>
      <c r="H25" s="4">
        <f t="shared" si="8"/>
        <v>0.68961731707317075</v>
      </c>
      <c r="I25" s="3">
        <f t="shared" si="9"/>
        <v>3.9224259079215056E-2</v>
      </c>
      <c r="J25" s="3">
        <f t="shared" si="10"/>
        <v>0.82469294961020478</v>
      </c>
      <c r="K25" s="3">
        <f t="shared" si="11"/>
        <v>3.9244387529908782E-2</v>
      </c>
      <c r="L25" s="3">
        <f t="shared" si="12"/>
        <v>0.11062594922021768</v>
      </c>
      <c r="M25" s="3">
        <v>0.82469294961020478</v>
      </c>
    </row>
    <row r="26" spans="1:15" ht="15.75" customHeight="1" x14ac:dyDescent="0.15">
      <c r="A26" s="1" t="s">
        <v>23</v>
      </c>
      <c r="B26" s="4">
        <f>10*B6</f>
        <v>3141.59</v>
      </c>
      <c r="F26" s="1">
        <v>8.1999999999999993</v>
      </c>
      <c r="G26" s="1">
        <v>1.6</v>
      </c>
      <c r="H26" s="4">
        <f t="shared" si="8"/>
        <v>0.61299317073170745</v>
      </c>
      <c r="I26" s="3">
        <f t="shared" si="9"/>
        <v>3.9034580139641895E-2</v>
      </c>
      <c r="J26" s="3">
        <f t="shared" si="10"/>
        <v>0.70338351303321045</v>
      </c>
      <c r="K26" s="3">
        <f t="shared" si="11"/>
        <v>3.9054417873461145E-2</v>
      </c>
      <c r="L26" s="3">
        <f>(2*3.14159*50)/(B26+12.4)</f>
        <v>9.9606847199896001E-2</v>
      </c>
      <c r="M26" s="3">
        <v>0.70338351303321045</v>
      </c>
    </row>
    <row r="28" spans="1:15" ht="15.75" customHeight="1" x14ac:dyDescent="0.15">
      <c r="A28" s="1" t="s">
        <v>24</v>
      </c>
      <c r="B28" s="1" t="s">
        <v>25</v>
      </c>
      <c r="C28" s="1" t="s">
        <v>26</v>
      </c>
      <c r="D28" s="1">
        <v>995</v>
      </c>
      <c r="L28" s="3">
        <f>L19^2</f>
        <v>0.925498452241584</v>
      </c>
      <c r="M28" s="3">
        <f>M19^2</f>
        <v>18.261244931472817</v>
      </c>
    </row>
    <row r="29" spans="1:15" ht="15.75" customHeight="1" x14ac:dyDescent="0.15">
      <c r="A29" s="1"/>
      <c r="F29" s="1" t="s">
        <v>27</v>
      </c>
      <c r="L29" s="3">
        <f t="shared" ref="L29:L35" si="13">L20^2</f>
        <v>0.24041699342439726</v>
      </c>
      <c r="M29" s="3">
        <f t="shared" ref="M29:M35" si="14">M20^2</f>
        <v>9.9846733702409374</v>
      </c>
    </row>
    <row r="30" spans="1:15" ht="15.75" customHeight="1" x14ac:dyDescent="0.15">
      <c r="A30" s="1" t="s">
        <v>28</v>
      </c>
      <c r="B30" s="1" t="s">
        <v>5</v>
      </c>
      <c r="C30" s="1" t="s">
        <v>7</v>
      </c>
      <c r="D30" s="1" t="s">
        <v>8</v>
      </c>
      <c r="F30" s="1" t="s">
        <v>28</v>
      </c>
      <c r="G30" s="1" t="s">
        <v>5</v>
      </c>
      <c r="H30" s="1" t="s">
        <v>7</v>
      </c>
      <c r="I30" s="1" t="s">
        <v>8</v>
      </c>
      <c r="L30" s="3">
        <f t="shared" si="13"/>
        <v>6.1284567716923116E-2</v>
      </c>
      <c r="M30" s="3">
        <f t="shared" si="14"/>
        <v>2.8293509731254733</v>
      </c>
    </row>
    <row r="31" spans="1:15" ht="15.75" customHeight="1" x14ac:dyDescent="0.15">
      <c r="A31" s="1">
        <v>930</v>
      </c>
      <c r="B31" s="4">
        <f>D31/C31 * 3.14159</f>
        <v>0.71130339622641503</v>
      </c>
      <c r="C31">
        <v>5.3</v>
      </c>
      <c r="D31">
        <v>1.2</v>
      </c>
      <c r="F31" s="1">
        <v>930</v>
      </c>
      <c r="G31" s="4">
        <f>I31/H31 * 3.14159</f>
        <v>0.24166076923076923</v>
      </c>
      <c r="H31">
        <v>5.2</v>
      </c>
      <c r="I31">
        <v>0.4</v>
      </c>
      <c r="L31" s="3">
        <f t="shared" si="13"/>
        <v>3.937587271471104E-2</v>
      </c>
      <c r="M31" s="3">
        <f t="shared" si="14"/>
        <v>2.0212181157510627</v>
      </c>
    </row>
    <row r="32" spans="1:15" ht="15.75" customHeight="1" x14ac:dyDescent="0.15">
      <c r="A32" s="1">
        <v>955</v>
      </c>
      <c r="B32" s="4">
        <f>D32/C32 * 3.14159</f>
        <v>0.47420226415094346</v>
      </c>
      <c r="C32" s="1">
        <v>5.3</v>
      </c>
      <c r="D32" s="1">
        <v>0.8</v>
      </c>
      <c r="F32" s="1">
        <v>955</v>
      </c>
      <c r="G32" s="4">
        <f>I32/H32 * 3.14159</f>
        <v>0.18124557692307691</v>
      </c>
      <c r="H32" s="1">
        <v>5.2</v>
      </c>
      <c r="I32" s="1">
        <v>0.3</v>
      </c>
      <c r="L32" s="3">
        <f t="shared" si="13"/>
        <v>2.7415885478957382E-2</v>
      </c>
      <c r="M32" s="3">
        <f t="shared" si="14"/>
        <v>1.4703241436465921</v>
      </c>
    </row>
    <row r="33" spans="1:13" ht="15.75" customHeight="1" x14ac:dyDescent="0.15">
      <c r="A33" s="1">
        <v>980</v>
      </c>
      <c r="B33" s="4">
        <f t="shared" ref="B33:B37" si="15">D33/C33 * 3.14159</f>
        <v>0.18124557692307691</v>
      </c>
      <c r="C33" s="1">
        <v>5.2</v>
      </c>
      <c r="D33" s="1">
        <v>0.3</v>
      </c>
      <c r="F33" s="1">
        <v>980</v>
      </c>
      <c r="G33" s="4">
        <f t="shared" ref="G33:G37" si="16">I33/H33 * 3.14159</f>
        <v>6.0415192307692309E-2</v>
      </c>
      <c r="H33" s="1">
        <v>10.4</v>
      </c>
      <c r="I33" s="1">
        <v>0.2</v>
      </c>
      <c r="L33" s="3">
        <f t="shared" si="13"/>
        <v>1.5471952110958568E-2</v>
      </c>
      <c r="M33" s="3">
        <f t="shared" si="14"/>
        <v>0.92621808993957955</v>
      </c>
    </row>
    <row r="34" spans="1:13" ht="15.75" customHeight="1" x14ac:dyDescent="0.15">
      <c r="A34" s="1">
        <v>1005</v>
      </c>
      <c r="B34" s="4">
        <f t="shared" si="15"/>
        <v>0.60158106382978715</v>
      </c>
      <c r="C34" s="1">
        <v>4.7</v>
      </c>
      <c r="D34" s="1">
        <v>0.9</v>
      </c>
      <c r="F34" s="1">
        <v>1005</v>
      </c>
      <c r="G34" s="4">
        <f t="shared" si="16"/>
        <v>0.26179916666666669</v>
      </c>
      <c r="H34" s="1">
        <v>4.8</v>
      </c>
      <c r="I34" s="1">
        <v>0.4</v>
      </c>
      <c r="L34" s="3">
        <f t="shared" si="13"/>
        <v>1.223810064087418E-2</v>
      </c>
      <c r="M34" s="3">
        <f t="shared" si="14"/>
        <v>0.68011846113677976</v>
      </c>
    </row>
    <row r="35" spans="1:13" ht="15.75" customHeight="1" x14ac:dyDescent="0.15">
      <c r="A35" s="1">
        <v>1030</v>
      </c>
      <c r="B35" s="4">
        <f t="shared" si="15"/>
        <v>1.1423963636363637</v>
      </c>
      <c r="C35" s="1">
        <v>4.4000000000000004</v>
      </c>
      <c r="D35" s="1">
        <v>1.6</v>
      </c>
      <c r="F35" s="1">
        <v>1030</v>
      </c>
      <c r="G35" s="4">
        <f t="shared" si="16"/>
        <v>0.80553589743589749</v>
      </c>
      <c r="H35" s="1">
        <v>3.9</v>
      </c>
      <c r="I35" s="1">
        <v>1</v>
      </c>
      <c r="L35" s="3">
        <f t="shared" si="13"/>
        <v>9.9215240091034291E-3</v>
      </c>
      <c r="M35" s="3">
        <f t="shared" si="14"/>
        <v>0.49474836640694053</v>
      </c>
    </row>
    <row r="36" spans="1:13" ht="15.75" customHeight="1" x14ac:dyDescent="0.15">
      <c r="A36" s="1">
        <v>1055</v>
      </c>
      <c r="B36" s="4">
        <f t="shared" si="15"/>
        <v>1.3744456249999997</v>
      </c>
      <c r="C36" s="1">
        <v>3.2</v>
      </c>
      <c r="D36" s="1">
        <v>1.4</v>
      </c>
      <c r="F36" s="1">
        <v>1055</v>
      </c>
      <c r="G36" s="4">
        <f t="shared" si="16"/>
        <v>1.0799215625</v>
      </c>
      <c r="H36" s="1">
        <v>3.2</v>
      </c>
      <c r="I36" s="1">
        <v>1.1000000000000001</v>
      </c>
      <c r="M36" s="3"/>
    </row>
    <row r="37" spans="1:13" ht="15.75" customHeight="1" x14ac:dyDescent="0.15">
      <c r="A37" s="1">
        <v>1080</v>
      </c>
      <c r="B37" s="4">
        <f t="shared" si="15"/>
        <v>1.5079631999999998</v>
      </c>
      <c r="C37" s="1">
        <v>2.5</v>
      </c>
      <c r="D37" s="1">
        <v>1.2</v>
      </c>
      <c r="F37" s="1">
        <v>1080</v>
      </c>
      <c r="G37" s="4">
        <f t="shared" si="16"/>
        <v>1.3174409677419354</v>
      </c>
      <c r="H37" s="1">
        <v>3.1</v>
      </c>
      <c r="I37" s="1">
        <v>1.3</v>
      </c>
    </row>
    <row r="38" spans="1:13" ht="15.75" customHeight="1" x14ac:dyDescent="0.15">
      <c r="C38" s="3"/>
      <c r="D38" s="3"/>
      <c r="E38" s="3"/>
      <c r="F38" s="3"/>
    </row>
    <row r="39" spans="1:13" ht="15.75" customHeight="1" x14ac:dyDescent="0.15">
      <c r="C39" s="3"/>
      <c r="D39" s="3"/>
      <c r="E39" s="3">
        <f>A31/1007</f>
        <v>0.92353525322740815</v>
      </c>
      <c r="F39" s="3">
        <f>B31/3.14159</f>
        <v>0.22641509433962262</v>
      </c>
    </row>
    <row r="40" spans="1:13" ht="13" x14ac:dyDescent="0.15">
      <c r="A40" s="1" t="s">
        <v>29</v>
      </c>
      <c r="B40" s="1" t="s">
        <v>30</v>
      </c>
      <c r="C40" s="3"/>
      <c r="D40" s="3"/>
      <c r="E40" s="3">
        <f t="shared" ref="E40:E45" si="17">A32/1007</f>
        <v>0.94836146971201585</v>
      </c>
      <c r="F40" s="3">
        <f t="shared" ref="F40:F45" si="18">B32/3.14159</f>
        <v>0.15094339622641512</v>
      </c>
    </row>
    <row r="41" spans="1:13" ht="15.75" customHeight="1" x14ac:dyDescent="0.15">
      <c r="C41" s="3"/>
      <c r="D41" s="3"/>
      <c r="E41" s="3">
        <f t="shared" si="17"/>
        <v>0.97318768619662366</v>
      </c>
      <c r="F41" s="3">
        <f t="shared" si="18"/>
        <v>5.7692307692307689E-2</v>
      </c>
    </row>
    <row r="42" spans="1:13" ht="13" x14ac:dyDescent="0.15">
      <c r="A42" s="1" t="s">
        <v>5</v>
      </c>
      <c r="B42" s="1" t="s">
        <v>31</v>
      </c>
      <c r="C42" s="3"/>
      <c r="D42" s="3"/>
      <c r="E42" s="3">
        <f t="shared" si="17"/>
        <v>0.99801390268123136</v>
      </c>
      <c r="F42" s="3">
        <f t="shared" si="18"/>
        <v>0.19148936170212763</v>
      </c>
    </row>
    <row r="43" spans="1:13" ht="13" x14ac:dyDescent="0.15">
      <c r="A43" s="1" t="s">
        <v>32</v>
      </c>
      <c r="E43" s="3">
        <f t="shared" si="17"/>
        <v>1.0228401191658392</v>
      </c>
      <c r="F43" s="3">
        <f t="shared" si="18"/>
        <v>0.36363636363636365</v>
      </c>
    </row>
    <row r="44" spans="1:13" ht="15.75" customHeight="1" x14ac:dyDescent="0.15">
      <c r="E44" s="3">
        <f t="shared" si="17"/>
        <v>1.047666335650447</v>
      </c>
      <c r="F44" s="3">
        <f t="shared" si="18"/>
        <v>0.43749999999999989</v>
      </c>
    </row>
    <row r="45" spans="1:13" ht="15.75" customHeight="1" x14ac:dyDescent="0.15">
      <c r="E45" s="3">
        <f t="shared" si="17"/>
        <v>1.0724925521350546</v>
      </c>
      <c r="F45" s="3">
        <f t="shared" si="18"/>
        <v>0.48</v>
      </c>
    </row>
    <row r="46" spans="1:13" ht="15.75" customHeight="1" x14ac:dyDescent="0.15">
      <c r="E46" s="3"/>
      <c r="F46" s="3"/>
    </row>
    <row r="47" spans="1:13" ht="15.75" customHeight="1" x14ac:dyDescent="0.15">
      <c r="E47" s="3">
        <f>F31/1007</f>
        <v>0.92353525322740815</v>
      </c>
      <c r="F47" s="3">
        <f>G31/3.14159</f>
        <v>7.6923076923076927E-2</v>
      </c>
    </row>
    <row r="48" spans="1:13" ht="15.75" customHeight="1" x14ac:dyDescent="0.15">
      <c r="E48" s="3">
        <f t="shared" ref="E48:E53" si="19">F32/1007</f>
        <v>0.94836146971201585</v>
      </c>
      <c r="F48" s="3">
        <f t="shared" ref="F48:F53" si="20">G32/3.14159</f>
        <v>5.7692307692307689E-2</v>
      </c>
    </row>
    <row r="49" spans="5:22" ht="15.75" customHeight="1" x14ac:dyDescent="0.15">
      <c r="E49" s="3">
        <f t="shared" si="19"/>
        <v>0.97318768619662366</v>
      </c>
      <c r="F49" s="3">
        <f t="shared" si="20"/>
        <v>1.9230769230769232E-2</v>
      </c>
    </row>
    <row r="50" spans="5:22" ht="15.75" customHeight="1" x14ac:dyDescent="0.15">
      <c r="E50" s="3">
        <f t="shared" si="19"/>
        <v>0.99801390268123136</v>
      </c>
      <c r="F50" s="3">
        <f t="shared" si="20"/>
        <v>8.3333333333333343E-2</v>
      </c>
    </row>
    <row r="51" spans="5:22" ht="15.75" customHeight="1" x14ac:dyDescent="0.15">
      <c r="E51" s="3">
        <f t="shared" si="19"/>
        <v>1.0228401191658392</v>
      </c>
      <c r="F51" s="3">
        <f t="shared" si="20"/>
        <v>0.25641025641025644</v>
      </c>
    </row>
    <row r="52" spans="5:22" ht="15.75" customHeight="1" x14ac:dyDescent="0.15">
      <c r="E52" s="3">
        <f t="shared" si="19"/>
        <v>1.047666335650447</v>
      </c>
      <c r="F52" s="3">
        <f t="shared" si="20"/>
        <v>0.34375</v>
      </c>
      <c r="O52" s="5" t="s">
        <v>33</v>
      </c>
      <c r="P52" s="5"/>
      <c r="Q52" s="5"/>
      <c r="R52" s="5"/>
      <c r="S52" s="5" t="s">
        <v>34</v>
      </c>
      <c r="T52" s="5"/>
      <c r="U52" s="5"/>
      <c r="V52" s="5"/>
    </row>
    <row r="53" spans="5:22" ht="15.75" customHeight="1" x14ac:dyDescent="0.15">
      <c r="E53" s="3">
        <f t="shared" si="19"/>
        <v>1.0724925521350546</v>
      </c>
      <c r="F53" s="3">
        <f t="shared" si="20"/>
        <v>0.41935483870967744</v>
      </c>
      <c r="O53" s="7" t="s">
        <v>35</v>
      </c>
      <c r="P53" s="7" t="s">
        <v>36</v>
      </c>
      <c r="Q53" s="7" t="s">
        <v>8</v>
      </c>
      <c r="R53" s="7" t="s">
        <v>37</v>
      </c>
      <c r="S53" s="7" t="s">
        <v>35</v>
      </c>
      <c r="T53" s="7" t="s">
        <v>36</v>
      </c>
      <c r="U53" s="7" t="s">
        <v>8</v>
      </c>
      <c r="V53" s="7" t="s">
        <v>37</v>
      </c>
    </row>
    <row r="54" spans="5:22" ht="15.75" customHeight="1" x14ac:dyDescent="0.15">
      <c r="O54" s="6">
        <v>870</v>
      </c>
      <c r="P54" s="6">
        <v>2.9</v>
      </c>
      <c r="Q54" s="6">
        <v>1</v>
      </c>
      <c r="R54" s="6">
        <f>Q54/P54 * 3.14159</f>
        <v>1.0833068965517241</v>
      </c>
      <c r="S54" s="6">
        <v>800</v>
      </c>
      <c r="T54" s="6">
        <v>3.1</v>
      </c>
      <c r="U54" s="6">
        <v>0.8</v>
      </c>
      <c r="V54" s="6">
        <f>U54/T54 * 3.14159</f>
        <v>0.81073290322580638</v>
      </c>
    </row>
    <row r="55" spans="5:22" ht="15.75" customHeight="1" x14ac:dyDescent="0.15">
      <c r="O55" s="6">
        <v>900</v>
      </c>
      <c r="P55" s="6">
        <v>2.8</v>
      </c>
      <c r="Q55" s="6">
        <v>0.9</v>
      </c>
      <c r="R55" s="6">
        <f t="shared" ref="R55:R61" si="21">Q55/P55 * 3.14159</f>
        <v>1.0097967857142858</v>
      </c>
      <c r="S55" s="6">
        <v>850</v>
      </c>
      <c r="T55" s="6">
        <v>3</v>
      </c>
      <c r="U55" s="6">
        <v>0.6</v>
      </c>
      <c r="V55" s="6">
        <f t="shared" ref="V55:V61" si="22">U55/T55 * 3.14159</f>
        <v>0.62831799999999993</v>
      </c>
    </row>
    <row r="56" spans="5:22" ht="15.75" customHeight="1" x14ac:dyDescent="0.15">
      <c r="O56" s="6">
        <v>930</v>
      </c>
      <c r="P56" s="6">
        <v>2.7</v>
      </c>
      <c r="Q56" s="6">
        <v>0.6</v>
      </c>
      <c r="R56" s="6">
        <f t="shared" si="21"/>
        <v>0.69813111111111104</v>
      </c>
      <c r="S56" s="6">
        <v>900</v>
      </c>
      <c r="T56" s="6">
        <v>2.8</v>
      </c>
      <c r="U56" s="6">
        <v>0.4</v>
      </c>
      <c r="V56" s="6">
        <f t="shared" si="22"/>
        <v>0.44879857142857149</v>
      </c>
    </row>
    <row r="57" spans="5:22" ht="15.75" customHeight="1" x14ac:dyDescent="0.15">
      <c r="O57" s="6">
        <v>960</v>
      </c>
      <c r="P57" s="6">
        <v>2.6</v>
      </c>
      <c r="Q57" s="6">
        <v>0.4</v>
      </c>
      <c r="R57" s="6">
        <f t="shared" si="21"/>
        <v>0.48332153846153847</v>
      </c>
      <c r="S57" s="6">
        <v>950</v>
      </c>
      <c r="T57" s="6">
        <v>2.5</v>
      </c>
      <c r="U57" s="6">
        <v>0.2</v>
      </c>
      <c r="V57" s="6">
        <f t="shared" si="22"/>
        <v>0.25132719999999997</v>
      </c>
    </row>
    <row r="58" spans="5:22" ht="15.75" customHeight="1" x14ac:dyDescent="0.15">
      <c r="O58" s="6">
        <v>1000</v>
      </c>
      <c r="P58" s="6">
        <v>2.5</v>
      </c>
      <c r="Q58" s="6">
        <v>0.05</v>
      </c>
      <c r="R58" s="6">
        <f t="shared" si="21"/>
        <v>6.2831799999999993E-2</v>
      </c>
      <c r="S58" s="6">
        <v>1000</v>
      </c>
      <c r="T58" s="6">
        <v>2.5</v>
      </c>
      <c r="U58" s="6">
        <v>0</v>
      </c>
      <c r="V58" s="6">
        <f t="shared" si="22"/>
        <v>0</v>
      </c>
    </row>
    <row r="59" spans="5:22" ht="15.75" customHeight="1" x14ac:dyDescent="0.15">
      <c r="O59" s="6">
        <v>1030</v>
      </c>
      <c r="P59" s="6">
        <v>2.4</v>
      </c>
      <c r="Q59" s="6">
        <v>0.4</v>
      </c>
      <c r="R59" s="6">
        <f t="shared" si="21"/>
        <v>0.52359833333333339</v>
      </c>
      <c r="S59" s="6">
        <v>1050</v>
      </c>
      <c r="T59" s="6">
        <v>2.4</v>
      </c>
      <c r="U59" s="6">
        <v>0.2</v>
      </c>
      <c r="V59" s="6">
        <f t="shared" si="22"/>
        <v>0.26179916666666669</v>
      </c>
    </row>
    <row r="60" spans="5:22" ht="15.75" customHeight="1" x14ac:dyDescent="0.15">
      <c r="O60" s="6">
        <v>1060</v>
      </c>
      <c r="P60" s="6">
        <v>2.4</v>
      </c>
      <c r="Q60" s="6">
        <v>0.6</v>
      </c>
      <c r="R60" s="6">
        <f t="shared" si="21"/>
        <v>0.78539749999999997</v>
      </c>
      <c r="S60" s="6">
        <v>1100</v>
      </c>
      <c r="T60" s="6">
        <v>2.4</v>
      </c>
      <c r="U60" s="6">
        <v>0.4</v>
      </c>
      <c r="V60" s="6">
        <f t="shared" si="22"/>
        <v>0.52359833333333339</v>
      </c>
    </row>
    <row r="61" spans="5:22" ht="15.75" customHeight="1" x14ac:dyDescent="0.15">
      <c r="O61" s="6">
        <v>1090</v>
      </c>
      <c r="P61" s="6">
        <v>2.2999999999999998</v>
      </c>
      <c r="Q61" s="6">
        <v>0.7</v>
      </c>
      <c r="R61" s="6">
        <f t="shared" si="21"/>
        <v>0.95613608695652175</v>
      </c>
      <c r="S61" s="6">
        <v>1150</v>
      </c>
      <c r="T61" s="6">
        <v>2.2000000000000002</v>
      </c>
      <c r="U61" s="6">
        <v>0.6</v>
      </c>
      <c r="V61" s="6">
        <f t="shared" si="22"/>
        <v>0.85679727272727269</v>
      </c>
    </row>
    <row r="63" spans="5:22" ht="15.75" customHeight="1" x14ac:dyDescent="0.15">
      <c r="Q63">
        <f>O54/1007</f>
        <v>0.86395233366434954</v>
      </c>
      <c r="R63">
        <f>Q54/P54</f>
        <v>0.34482758620689657</v>
      </c>
      <c r="U63" s="2">
        <f>S54/1007</f>
        <v>0.79443892750744782</v>
      </c>
      <c r="V63" s="2">
        <f>U54/T54</f>
        <v>0.25806451612903225</v>
      </c>
    </row>
    <row r="64" spans="5:22" ht="15.75" customHeight="1" x14ac:dyDescent="0.15">
      <c r="Q64">
        <f t="shared" ref="Q64:Q70" si="23">O55/1007</f>
        <v>0.89374379344587884</v>
      </c>
      <c r="R64">
        <f t="shared" ref="R64:R71" si="24">Q55/P55</f>
        <v>0.32142857142857145</v>
      </c>
      <c r="U64" s="2">
        <f t="shared" ref="U64:U70" si="25">S55/1007</f>
        <v>0.84409136047666333</v>
      </c>
      <c r="V64" s="2">
        <f t="shared" ref="V64:V70" si="26">U55/T55</f>
        <v>0.19999999999999998</v>
      </c>
    </row>
    <row r="65" spans="17:22" ht="15.75" customHeight="1" x14ac:dyDescent="0.15">
      <c r="Q65">
        <f t="shared" si="23"/>
        <v>0.92353525322740815</v>
      </c>
      <c r="R65">
        <f t="shared" si="24"/>
        <v>0.22222222222222221</v>
      </c>
      <c r="U65" s="2">
        <f t="shared" si="25"/>
        <v>0.89374379344587884</v>
      </c>
      <c r="V65" s="2">
        <f t="shared" si="26"/>
        <v>0.14285714285714288</v>
      </c>
    </row>
    <row r="66" spans="17:22" ht="15.75" customHeight="1" x14ac:dyDescent="0.15">
      <c r="Q66">
        <f t="shared" si="23"/>
        <v>0.95332671300893745</v>
      </c>
      <c r="R66">
        <f t="shared" si="24"/>
        <v>0.15384615384615385</v>
      </c>
      <c r="U66" s="2">
        <f t="shared" si="25"/>
        <v>0.94339622641509435</v>
      </c>
      <c r="V66" s="2">
        <f t="shared" si="26"/>
        <v>0.08</v>
      </c>
    </row>
    <row r="67" spans="17:22" ht="15.75" customHeight="1" x14ac:dyDescent="0.15">
      <c r="Q67">
        <f t="shared" si="23"/>
        <v>0.99304865938430986</v>
      </c>
      <c r="R67">
        <f t="shared" si="24"/>
        <v>0.02</v>
      </c>
      <c r="U67" s="2">
        <f t="shared" si="25"/>
        <v>0.99304865938430986</v>
      </c>
      <c r="V67" s="2">
        <f t="shared" si="26"/>
        <v>0</v>
      </c>
    </row>
    <row r="68" spans="17:22" ht="15.75" customHeight="1" x14ac:dyDescent="0.15">
      <c r="Q68">
        <f t="shared" si="23"/>
        <v>1.0228401191658392</v>
      </c>
      <c r="R68">
        <f t="shared" si="24"/>
        <v>0.16666666666666669</v>
      </c>
      <c r="U68" s="2">
        <f t="shared" si="25"/>
        <v>1.0427010923535254</v>
      </c>
      <c r="V68" s="2">
        <f t="shared" si="26"/>
        <v>8.3333333333333343E-2</v>
      </c>
    </row>
    <row r="69" spans="17:22" ht="15.75" customHeight="1" x14ac:dyDescent="0.15">
      <c r="Q69">
        <f t="shared" si="23"/>
        <v>1.0526315789473684</v>
      </c>
      <c r="R69">
        <f t="shared" si="24"/>
        <v>0.25</v>
      </c>
      <c r="U69" s="2">
        <f t="shared" si="25"/>
        <v>1.0923535253227408</v>
      </c>
      <c r="V69" s="2">
        <f t="shared" si="26"/>
        <v>0.16666666666666669</v>
      </c>
    </row>
    <row r="70" spans="17:22" ht="15.75" customHeight="1" x14ac:dyDescent="0.15">
      <c r="Q70">
        <f t="shared" si="23"/>
        <v>1.0824230387288978</v>
      </c>
      <c r="R70">
        <f t="shared" si="24"/>
        <v>0.30434782608695654</v>
      </c>
      <c r="U70" s="2">
        <f t="shared" si="25"/>
        <v>1.1420059582919564</v>
      </c>
      <c r="V70" s="2">
        <f t="shared" si="26"/>
        <v>0.27272727272727271</v>
      </c>
    </row>
  </sheetData>
  <mergeCells count="2">
    <mergeCell ref="O52:R52"/>
    <mergeCell ref="S52:V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2022-09-16T12:20:17Z</dcterms:modified>
</cp:coreProperties>
</file>