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or_sayapin/Downloads/"/>
    </mc:Choice>
  </mc:AlternateContent>
  <xr:revisionPtr revIDLastSave="0" documentId="13_ncr:1_{2247C34D-6090-6840-BD8F-516207381CBB}" xr6:coauthVersionLast="47" xr6:coauthVersionMax="47" xr10:uidLastSave="{00000000-0000-0000-0000-000000000000}"/>
  <bookViews>
    <workbookView xWindow="0" yWindow="740" windowWidth="14660" windowHeight="18380" activeTab="1" xr2:uid="{EB545858-9279-4C8E-9630-5F84A2CF4570}"/>
  </bookViews>
  <sheets>
    <sheet name="2021" sheetId="11" r:id="rId1"/>
    <sheet name="2022" sheetId="12" r:id="rId2"/>
  </sheets>
  <definedNames>
    <definedName name="_xlnm._FilterDatabase" localSheetId="1" hidden="1">'2022'!$J$4:$J$30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2" l="1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4" i="12"/>
  <c r="H14" i="12"/>
  <c r="H13" i="12"/>
  <c r="H12" i="12"/>
  <c r="H11" i="12"/>
  <c r="H10" i="12"/>
  <c r="H9" i="12"/>
  <c r="H8" i="12"/>
  <c r="H7" i="12"/>
  <c r="H6" i="12"/>
  <c r="H5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K31" i="12"/>
  <c r="L31" i="12"/>
  <c r="J22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J23" i="12"/>
  <c r="J20" i="12"/>
  <c r="J21" i="12"/>
  <c r="J30" i="12"/>
  <c r="J29" i="12"/>
  <c r="J28" i="12"/>
  <c r="J27" i="12"/>
  <c r="J26" i="12"/>
  <c r="J25" i="12"/>
  <c r="J24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G31" i="11"/>
  <c r="F31" i="11"/>
  <c r="E31" i="11"/>
  <c r="D31" i="11"/>
  <c r="C31" i="11"/>
</calcChain>
</file>

<file path=xl/sharedStrings.xml><?xml version="1.0" encoding="utf-8"?>
<sst xmlns="http://schemas.openxmlformats.org/spreadsheetml/2006/main" count="109" uniqueCount="73">
  <si>
    <t xml:space="preserve">Агрохимическая характеристика сельскохозяйственных угодий Пензенской области </t>
  </si>
  <si>
    <t>№ п/п</t>
  </si>
  <si>
    <t>Наименование района</t>
  </si>
  <si>
    <t>Обследованная площадь, тыс. га</t>
  </si>
  <si>
    <t>средневзвешенный показатель</t>
  </si>
  <si>
    <t>подвижный фосфор, мг/кг</t>
  </si>
  <si>
    <t>подвижный калий, мг/кг</t>
  </si>
  <si>
    <t>рН солевой вытяжки), ед рН</t>
  </si>
  <si>
    <t>гумус, %</t>
  </si>
  <si>
    <t>Бековский</t>
  </si>
  <si>
    <t>Белинский</t>
  </si>
  <si>
    <t>Колышлейский</t>
  </si>
  <si>
    <t>М-Сердобинский</t>
  </si>
  <si>
    <t>Сердобский</t>
  </si>
  <si>
    <t>Тамалинский</t>
  </si>
  <si>
    <t>Башмаковский</t>
  </si>
  <si>
    <t>Вадинский</t>
  </si>
  <si>
    <t>Земетчинский</t>
  </si>
  <si>
    <t>Каменский</t>
  </si>
  <si>
    <t>Пачелмский</t>
  </si>
  <si>
    <t>Спасский</t>
  </si>
  <si>
    <t>Иссинский</t>
  </si>
  <si>
    <t>Лунинский</t>
  </si>
  <si>
    <t>Мокшанский</t>
  </si>
  <si>
    <t>Наровчатский</t>
  </si>
  <si>
    <t>Н-Ломовский</t>
  </si>
  <si>
    <t>Бессоновский</t>
  </si>
  <si>
    <t>Пензенский</t>
  </si>
  <si>
    <t>Камешкирский</t>
  </si>
  <si>
    <t>Кузнецкий</t>
  </si>
  <si>
    <t>Лопатинский</t>
  </si>
  <si>
    <t>Неверкинский</t>
  </si>
  <si>
    <t>Шемышейский</t>
  </si>
  <si>
    <t>Городищенский</t>
  </si>
  <si>
    <t>Никольский</t>
  </si>
  <si>
    <t>Сосновоборский</t>
  </si>
  <si>
    <t>Всего по области</t>
  </si>
  <si>
    <t>урожайность зерновых, центнера/га</t>
  </si>
  <si>
    <t>урожайность картофеля, тонны/га</t>
  </si>
  <si>
    <t>СРУП* руб/кв.м</t>
  </si>
  <si>
    <t>6 (з)</t>
  </si>
  <si>
    <t>3 (з)</t>
  </si>
  <si>
    <t>9 (з)</t>
  </si>
  <si>
    <t>2 (п)</t>
  </si>
  <si>
    <t>16 (з)</t>
  </si>
  <si>
    <t>24 (з)</t>
  </si>
  <si>
    <t>15 (з)</t>
  </si>
  <si>
    <t>2 (з)</t>
  </si>
  <si>
    <t>5 (з)</t>
  </si>
  <si>
    <t>23 (з)</t>
  </si>
  <si>
    <t>8 (з)</t>
  </si>
  <si>
    <t>20 (з)</t>
  </si>
  <si>
    <t xml:space="preserve"> 1 (п)</t>
  </si>
  <si>
    <t>18 (з)</t>
  </si>
  <si>
    <t>7 (з)</t>
  </si>
  <si>
    <t>13 (з)</t>
  </si>
  <si>
    <t>14 (з)</t>
  </si>
  <si>
    <t>21 (з)</t>
  </si>
  <si>
    <t>22 (з)</t>
  </si>
  <si>
    <t>12 (з)</t>
  </si>
  <si>
    <t>11 (з)</t>
  </si>
  <si>
    <t>10 (з)</t>
  </si>
  <si>
    <t>17 (з)</t>
  </si>
  <si>
    <t>4 (з)</t>
  </si>
  <si>
    <t>1 (з)</t>
  </si>
  <si>
    <t>19 (з)</t>
  </si>
  <si>
    <t>Урожайность подсолнечника,тонны/га</t>
  </si>
  <si>
    <t>Урожайность овощей открытого грунта,тонны/га</t>
  </si>
  <si>
    <t xml:space="preserve"> </t>
  </si>
  <si>
    <t>Градация почв с учетом агрохим показателей</t>
  </si>
  <si>
    <t>з-зерновые</t>
  </si>
  <si>
    <t>п- пропашные</t>
  </si>
  <si>
    <t>Градация земель для сельскохозяйственного назначения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</si>
</sst>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699213</xdr:colOff>
      <xdr:row>32</xdr:row>
      <xdr:rowOff>42809</xdr:rowOff>
    </xdr:from>
    <xdr:to>
      <xdr:col>10</xdr:col>
      <xdr:colOff>114157</xdr:colOff>
      <xdr:row>37</xdr:row>
      <xdr:rowOff>71348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82AFBF-A82D-9760-B506-2FE12F307EE1}"/>
            </a:ext>
          </a:extLst>
        </xdr:cNvPr>
        <xdr:cNvSpPr txBox="1"/>
      </xdr:nvSpPr>
      <xdr:spPr>
        <a:xfrm>
          <a:off x="7263258" y="6606854"/>
          <a:ext cx="2454382" cy="956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</a:t>
          </a:r>
          <a:r>
            <a:rPr lang="ru-RU" sz="1100"/>
            <a:t>кадастровая</a:t>
          </a:r>
          <a:r>
            <a:rPr lang="ru-RU" sz="1100" baseline="0"/>
            <a:t> стоимость земельных участков категории "Земли сельскохозяйственного назначения</a:t>
          </a:r>
          <a:r>
            <a:rPr lang="en-US" sz="1100" baseline="0"/>
            <a:t>,</a:t>
          </a:r>
          <a:r>
            <a:rPr lang="ru-RU" sz="1100" baseline="0"/>
            <a:t> руб/кв</a:t>
          </a:r>
          <a:r>
            <a:rPr lang="en-US" sz="1100" baseline="0"/>
            <a:t>.</a:t>
          </a:r>
          <a:r>
            <a:rPr lang="ru-RU" sz="1100" baseline="0"/>
            <a:t>м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B695-58A7-4220-9073-CE948A8E5F36}">
  <dimension ref="A1:G31"/>
  <sheetViews>
    <sheetView topLeftCell="A17" workbookViewId="0">
      <selection activeCell="D38" sqref="D38"/>
    </sheetView>
  </sheetViews>
  <sheetFormatPr baseColWidth="10" defaultColWidth="8.83203125" defaultRowHeight="15" x14ac:dyDescent="0.2"/>
  <cols>
    <col min="2" max="2" width="17.6640625" customWidth="1"/>
    <col min="3" max="6" width="12.6640625" customWidth="1"/>
  </cols>
  <sheetData>
    <row r="1" spans="1:7" x14ac:dyDescent="0.2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19" t="s">
        <v>1</v>
      </c>
      <c r="B2" s="20" t="s">
        <v>2</v>
      </c>
      <c r="C2" s="20" t="s">
        <v>3</v>
      </c>
      <c r="D2" s="19" t="s">
        <v>4</v>
      </c>
      <c r="E2" s="19"/>
      <c r="F2" s="19"/>
      <c r="G2" s="19"/>
    </row>
    <row r="3" spans="1:7" ht="48" x14ac:dyDescent="0.2">
      <c r="A3" s="19"/>
      <c r="B3" s="20"/>
      <c r="C3" s="20"/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">
      <c r="A4" s="2">
        <v>1</v>
      </c>
      <c r="B4" s="2" t="s">
        <v>9</v>
      </c>
      <c r="C4" s="3">
        <v>73.900000000000006</v>
      </c>
      <c r="D4" s="3">
        <v>93</v>
      </c>
      <c r="E4" s="3">
        <v>136</v>
      </c>
      <c r="F4" s="3">
        <v>5.2</v>
      </c>
      <c r="G4" s="3">
        <v>6.9</v>
      </c>
    </row>
    <row r="5" spans="1:7" x14ac:dyDescent="0.2">
      <c r="A5" s="2">
        <v>2</v>
      </c>
      <c r="B5" s="2" t="s">
        <v>10</v>
      </c>
      <c r="C5" s="3">
        <v>117.3</v>
      </c>
      <c r="D5" s="3">
        <v>93</v>
      </c>
      <c r="E5" s="3">
        <v>123</v>
      </c>
      <c r="F5" s="3">
        <v>5</v>
      </c>
      <c r="G5" s="3">
        <v>6.4</v>
      </c>
    </row>
    <row r="6" spans="1:7" x14ac:dyDescent="0.2">
      <c r="A6" s="2">
        <v>3</v>
      </c>
      <c r="B6" s="2" t="s">
        <v>11</v>
      </c>
      <c r="C6" s="3">
        <v>146.4</v>
      </c>
      <c r="D6" s="3">
        <v>86</v>
      </c>
      <c r="E6" s="3">
        <v>134</v>
      </c>
      <c r="F6" s="3">
        <v>5.2</v>
      </c>
      <c r="G6" s="3">
        <v>6.4</v>
      </c>
    </row>
    <row r="7" spans="1:7" x14ac:dyDescent="0.2">
      <c r="A7" s="2">
        <v>4</v>
      </c>
      <c r="B7" s="2" t="s">
        <v>12</v>
      </c>
      <c r="C7" s="6">
        <v>89.3</v>
      </c>
      <c r="D7" s="3">
        <v>46</v>
      </c>
      <c r="E7" s="3">
        <v>115</v>
      </c>
      <c r="F7" s="3">
        <v>4.8</v>
      </c>
      <c r="G7" s="3">
        <v>5.6</v>
      </c>
    </row>
    <row r="8" spans="1:7" x14ac:dyDescent="0.2">
      <c r="A8" s="2">
        <v>5</v>
      </c>
      <c r="B8" s="2" t="s">
        <v>13</v>
      </c>
      <c r="C8" s="3">
        <v>123.9</v>
      </c>
      <c r="D8" s="3">
        <v>89</v>
      </c>
      <c r="E8" s="3">
        <v>142</v>
      </c>
      <c r="F8" s="3">
        <v>5.3</v>
      </c>
      <c r="G8" s="3">
        <v>6.2</v>
      </c>
    </row>
    <row r="9" spans="1:7" x14ac:dyDescent="0.2">
      <c r="A9" s="2">
        <v>6</v>
      </c>
      <c r="B9" s="2" t="s">
        <v>14</v>
      </c>
      <c r="C9" s="3">
        <v>103.6</v>
      </c>
      <c r="D9" s="3">
        <v>99</v>
      </c>
      <c r="E9" s="3">
        <v>127</v>
      </c>
      <c r="F9" s="3">
        <v>5.5</v>
      </c>
      <c r="G9" s="3">
        <v>7</v>
      </c>
    </row>
    <row r="10" spans="1:7" x14ac:dyDescent="0.2">
      <c r="A10" s="2">
        <v>7</v>
      </c>
      <c r="B10" s="2" t="s">
        <v>15</v>
      </c>
      <c r="C10" s="3">
        <v>89</v>
      </c>
      <c r="D10" s="3">
        <v>87</v>
      </c>
      <c r="E10" s="3">
        <v>127</v>
      </c>
      <c r="F10" s="3">
        <v>5.2</v>
      </c>
      <c r="G10" s="3">
        <v>6.6</v>
      </c>
    </row>
    <row r="11" spans="1:7" x14ac:dyDescent="0.2">
      <c r="A11" s="2">
        <v>8</v>
      </c>
      <c r="B11" s="2" t="s">
        <v>16</v>
      </c>
      <c r="C11" s="3">
        <v>60.9</v>
      </c>
      <c r="D11" s="3">
        <v>61</v>
      </c>
      <c r="E11" s="3">
        <v>125</v>
      </c>
      <c r="F11" s="3">
        <v>4.7</v>
      </c>
      <c r="G11" s="3">
        <v>5.0999999999999996</v>
      </c>
    </row>
    <row r="12" spans="1:7" x14ac:dyDescent="0.2">
      <c r="A12" s="2">
        <v>9</v>
      </c>
      <c r="B12" s="2" t="s">
        <v>17</v>
      </c>
      <c r="C12" s="3">
        <v>85</v>
      </c>
      <c r="D12" s="3">
        <v>77</v>
      </c>
      <c r="E12" s="3">
        <v>108</v>
      </c>
      <c r="F12" s="3">
        <v>4.5999999999999996</v>
      </c>
      <c r="G12" s="3">
        <v>5.2</v>
      </c>
    </row>
    <row r="13" spans="1:7" x14ac:dyDescent="0.2">
      <c r="A13" s="2">
        <v>10</v>
      </c>
      <c r="B13" s="2" t="s">
        <v>18</v>
      </c>
      <c r="C13" s="3">
        <v>70.099999999999994</v>
      </c>
      <c r="D13" s="3">
        <v>85</v>
      </c>
      <c r="E13" s="3">
        <v>144</v>
      </c>
      <c r="F13" s="3">
        <v>5</v>
      </c>
      <c r="G13" s="3">
        <v>6.8</v>
      </c>
    </row>
    <row r="14" spans="1:7" x14ac:dyDescent="0.2">
      <c r="A14" s="2">
        <v>11</v>
      </c>
      <c r="B14" s="2" t="s">
        <v>19</v>
      </c>
      <c r="C14" s="3">
        <v>56.1</v>
      </c>
      <c r="D14" s="3">
        <v>73</v>
      </c>
      <c r="E14" s="3">
        <v>125</v>
      </c>
      <c r="F14" s="3">
        <v>4.8</v>
      </c>
      <c r="G14" s="3">
        <v>5.6</v>
      </c>
    </row>
    <row r="15" spans="1:7" x14ac:dyDescent="0.2">
      <c r="A15" s="2">
        <v>12</v>
      </c>
      <c r="B15" s="2" t="s">
        <v>20</v>
      </c>
      <c r="C15" s="3">
        <v>45</v>
      </c>
      <c r="D15" s="3">
        <v>66</v>
      </c>
      <c r="E15" s="3">
        <v>115</v>
      </c>
      <c r="F15" s="3">
        <v>5</v>
      </c>
      <c r="G15" s="3">
        <v>6.9</v>
      </c>
    </row>
    <row r="16" spans="1:7" x14ac:dyDescent="0.2">
      <c r="A16" s="2">
        <v>13</v>
      </c>
      <c r="B16" s="2" t="s">
        <v>21</v>
      </c>
      <c r="C16" s="3">
        <v>66.400000000000006</v>
      </c>
      <c r="D16" s="3">
        <v>83</v>
      </c>
      <c r="E16" s="3">
        <v>136</v>
      </c>
      <c r="F16" s="3">
        <v>5.0999999999999996</v>
      </c>
      <c r="G16" s="3">
        <v>7</v>
      </c>
    </row>
    <row r="17" spans="1:7" x14ac:dyDescent="0.2">
      <c r="A17" s="2">
        <v>14</v>
      </c>
      <c r="B17" s="2" t="s">
        <v>22</v>
      </c>
      <c r="C17" s="3">
        <v>69.900000000000006</v>
      </c>
      <c r="D17" s="3">
        <v>108</v>
      </c>
      <c r="E17" s="3">
        <v>152</v>
      </c>
      <c r="F17" s="3">
        <v>5.2</v>
      </c>
      <c r="G17" s="3">
        <v>6.3</v>
      </c>
    </row>
    <row r="18" spans="1:7" x14ac:dyDescent="0.2">
      <c r="A18" s="2">
        <v>15</v>
      </c>
      <c r="B18" s="2" t="s">
        <v>23</v>
      </c>
      <c r="C18" s="3">
        <v>143.5</v>
      </c>
      <c r="D18" s="3">
        <v>55</v>
      </c>
      <c r="E18" s="3">
        <v>117</v>
      </c>
      <c r="F18" s="3">
        <v>4.9000000000000004</v>
      </c>
      <c r="G18" s="3">
        <v>6.7</v>
      </c>
    </row>
    <row r="19" spans="1:7" x14ac:dyDescent="0.2">
      <c r="A19" s="2">
        <v>16</v>
      </c>
      <c r="B19" s="2" t="s">
        <v>24</v>
      </c>
      <c r="C19" s="3">
        <v>56.5</v>
      </c>
      <c r="D19" s="3">
        <v>80</v>
      </c>
      <c r="E19" s="3">
        <v>109</v>
      </c>
      <c r="F19" s="3">
        <v>4.9000000000000004</v>
      </c>
      <c r="G19" s="3">
        <v>5.3</v>
      </c>
    </row>
    <row r="20" spans="1:7" x14ac:dyDescent="0.2">
      <c r="A20" s="2">
        <v>17</v>
      </c>
      <c r="B20" s="2" t="s">
        <v>25</v>
      </c>
      <c r="C20" s="3">
        <v>91.5</v>
      </c>
      <c r="D20" s="3">
        <v>73</v>
      </c>
      <c r="E20" s="3">
        <v>116</v>
      </c>
      <c r="F20" s="3">
        <v>4.9000000000000004</v>
      </c>
      <c r="G20" s="3">
        <v>5.5</v>
      </c>
    </row>
    <row r="21" spans="1:7" x14ac:dyDescent="0.2">
      <c r="A21" s="2">
        <v>18</v>
      </c>
      <c r="B21" s="2" t="s">
        <v>26</v>
      </c>
      <c r="C21" s="3">
        <v>66.599999999999994</v>
      </c>
      <c r="D21" s="3">
        <v>112</v>
      </c>
      <c r="E21" s="3">
        <v>147</v>
      </c>
      <c r="F21" s="3">
        <v>5</v>
      </c>
      <c r="G21" s="3">
        <v>5.2</v>
      </c>
    </row>
    <row r="22" spans="1:7" x14ac:dyDescent="0.2">
      <c r="A22" s="2">
        <v>19</v>
      </c>
      <c r="B22" s="2" t="s">
        <v>27</v>
      </c>
      <c r="C22" s="3">
        <v>183.9</v>
      </c>
      <c r="D22" s="3">
        <v>70</v>
      </c>
      <c r="E22" s="3">
        <v>117</v>
      </c>
      <c r="F22" s="3">
        <v>4.8</v>
      </c>
      <c r="G22" s="3">
        <v>5.8</v>
      </c>
    </row>
    <row r="23" spans="1:7" x14ac:dyDescent="0.2">
      <c r="A23" s="2">
        <v>20</v>
      </c>
      <c r="B23" s="2" t="s">
        <v>28</v>
      </c>
      <c r="C23" s="3">
        <v>76</v>
      </c>
      <c r="D23" s="3">
        <v>46</v>
      </c>
      <c r="E23" s="3">
        <v>108</v>
      </c>
      <c r="F23" s="3">
        <v>4.7</v>
      </c>
      <c r="G23" s="3">
        <v>4.5</v>
      </c>
    </row>
    <row r="24" spans="1:7" x14ac:dyDescent="0.2">
      <c r="A24" s="2">
        <v>21</v>
      </c>
      <c r="B24" s="2" t="s">
        <v>29</v>
      </c>
      <c r="C24" s="3">
        <v>68.3</v>
      </c>
      <c r="D24" s="3">
        <v>89</v>
      </c>
      <c r="E24" s="3">
        <v>116</v>
      </c>
      <c r="F24" s="3">
        <v>4.8</v>
      </c>
      <c r="G24" s="3">
        <v>4.5999999999999996</v>
      </c>
    </row>
    <row r="25" spans="1:7" x14ac:dyDescent="0.2">
      <c r="A25" s="2">
        <v>22</v>
      </c>
      <c r="B25" s="2" t="s">
        <v>30</v>
      </c>
      <c r="C25" s="3">
        <v>66</v>
      </c>
      <c r="D25" s="3">
        <v>56</v>
      </c>
      <c r="E25" s="3">
        <v>112</v>
      </c>
      <c r="F25" s="3">
        <v>5</v>
      </c>
      <c r="G25" s="3">
        <v>4.4000000000000004</v>
      </c>
    </row>
    <row r="26" spans="1:7" x14ac:dyDescent="0.2">
      <c r="A26" s="2">
        <v>23</v>
      </c>
      <c r="B26" s="2" t="s">
        <v>31</v>
      </c>
      <c r="C26" s="3">
        <v>64.2</v>
      </c>
      <c r="D26" s="3">
        <v>76</v>
      </c>
      <c r="E26" s="3">
        <v>123</v>
      </c>
      <c r="F26" s="3">
        <v>5.2</v>
      </c>
      <c r="G26" s="3">
        <v>4.3</v>
      </c>
    </row>
    <row r="27" spans="1:7" x14ac:dyDescent="0.2">
      <c r="A27" s="2">
        <v>24</v>
      </c>
      <c r="B27" s="2" t="s">
        <v>32</v>
      </c>
      <c r="C27" s="3">
        <v>79.5</v>
      </c>
      <c r="D27" s="3">
        <v>50</v>
      </c>
      <c r="E27" s="3">
        <v>126</v>
      </c>
      <c r="F27" s="3">
        <v>5.0999999999999996</v>
      </c>
      <c r="G27" s="3">
        <v>4.5</v>
      </c>
    </row>
    <row r="28" spans="1:7" x14ac:dyDescent="0.2">
      <c r="A28" s="2">
        <v>25</v>
      </c>
      <c r="B28" s="2" t="s">
        <v>33</v>
      </c>
      <c r="C28" s="3">
        <v>65.2</v>
      </c>
      <c r="D28" s="3">
        <v>61</v>
      </c>
      <c r="E28" s="3">
        <v>110</v>
      </c>
      <c r="F28" s="3">
        <v>4.4000000000000004</v>
      </c>
      <c r="G28" s="3">
        <v>3.2</v>
      </c>
    </row>
    <row r="29" spans="1:7" x14ac:dyDescent="0.2">
      <c r="A29" s="2">
        <v>26</v>
      </c>
      <c r="B29" s="2" t="s">
        <v>34</v>
      </c>
      <c r="C29" s="3">
        <v>61.8</v>
      </c>
      <c r="D29" s="3">
        <v>49</v>
      </c>
      <c r="E29" s="3">
        <v>95</v>
      </c>
      <c r="F29" s="3">
        <v>4.0999999999999996</v>
      </c>
      <c r="G29" s="3">
        <v>3.4</v>
      </c>
    </row>
    <row r="30" spans="1:7" x14ac:dyDescent="0.2">
      <c r="A30" s="2">
        <v>27</v>
      </c>
      <c r="B30" s="2" t="s">
        <v>35</v>
      </c>
      <c r="C30" s="3">
        <v>45.5</v>
      </c>
      <c r="D30" s="3">
        <v>47</v>
      </c>
      <c r="E30" s="3">
        <v>92</v>
      </c>
      <c r="F30" s="3">
        <v>4.0999999999999996</v>
      </c>
      <c r="G30" s="3">
        <v>4.5999999999999996</v>
      </c>
    </row>
    <row r="31" spans="1:7" x14ac:dyDescent="0.2">
      <c r="A31" s="2"/>
      <c r="B31" s="4" t="s">
        <v>36</v>
      </c>
      <c r="C31" s="5">
        <f>SUM(C4:C30)</f>
        <v>2265.3000000000002</v>
      </c>
      <c r="D31" s="5">
        <f>SUM(D4:D30)/27</f>
        <v>74.444444444444443</v>
      </c>
      <c r="E31" s="5">
        <f>SUM(E4:E30)/27</f>
        <v>122.11111111111111</v>
      </c>
      <c r="F31" s="5">
        <f>SUM(F4:F30)/27</f>
        <v>4.9074074074074083</v>
      </c>
      <c r="G31" s="5">
        <f>SUM(G4:G30)/27</f>
        <v>5.5555555555555554</v>
      </c>
    </row>
  </sheetData>
  <mergeCells count="5">
    <mergeCell ref="A2:A3"/>
    <mergeCell ref="B2:B3"/>
    <mergeCell ref="C2:C3"/>
    <mergeCell ref="D2:G2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9A6B-73D2-46C9-87FB-95F1261CF4F1}">
  <dimension ref="A1:N33"/>
  <sheetViews>
    <sheetView tabSelected="1" topLeftCell="D1" zoomScale="125" zoomScaleNormal="164" workbookViewId="0">
      <selection activeCell="H31" sqref="H31"/>
    </sheetView>
  </sheetViews>
  <sheetFormatPr baseColWidth="10" defaultColWidth="8.83203125" defaultRowHeight="15" x14ac:dyDescent="0.2"/>
  <cols>
    <col min="2" max="2" width="17.6640625" customWidth="1"/>
    <col min="3" max="6" width="12.6640625" customWidth="1"/>
    <col min="8" max="8" width="12.5" customWidth="1"/>
    <col min="9" max="9" width="13.83203125" customWidth="1"/>
    <col min="10" max="10" width="13.5" customWidth="1"/>
    <col min="11" max="11" width="15" customWidth="1"/>
    <col min="12" max="12" width="11.33203125" customWidth="1"/>
    <col min="13" max="13" width="14.6640625" customWidth="1"/>
    <col min="14" max="14" width="11.83203125" customWidth="1"/>
  </cols>
  <sheetData>
    <row r="1" spans="1:14" x14ac:dyDescent="0.2">
      <c r="A1" s="21" t="s">
        <v>0</v>
      </c>
      <c r="B1" s="21"/>
      <c r="C1" s="21"/>
      <c r="D1" s="21"/>
      <c r="E1" s="21"/>
      <c r="F1" s="21"/>
      <c r="G1" s="21"/>
    </row>
    <row r="2" spans="1:14" x14ac:dyDescent="0.2">
      <c r="A2" s="20" t="s">
        <v>1</v>
      </c>
      <c r="B2" s="20" t="s">
        <v>2</v>
      </c>
      <c r="C2" s="22"/>
      <c r="D2" s="22" t="s">
        <v>4</v>
      </c>
      <c r="E2" s="22"/>
      <c r="F2" s="22"/>
      <c r="G2" s="22"/>
    </row>
    <row r="3" spans="1:14" ht="64" x14ac:dyDescent="0.2">
      <c r="A3" s="20"/>
      <c r="B3" s="20"/>
      <c r="C3" s="22"/>
      <c r="D3" s="12" t="s">
        <v>5</v>
      </c>
      <c r="E3" s="12" t="s">
        <v>6</v>
      </c>
      <c r="F3" s="12" t="s">
        <v>7</v>
      </c>
      <c r="G3" s="16" t="s">
        <v>8</v>
      </c>
      <c r="H3" s="16" t="s">
        <v>37</v>
      </c>
      <c r="I3" s="16" t="s">
        <v>38</v>
      </c>
      <c r="J3" s="16" t="s">
        <v>66</v>
      </c>
      <c r="K3" s="16" t="s">
        <v>67</v>
      </c>
      <c r="L3" s="16" t="s">
        <v>39</v>
      </c>
      <c r="M3" s="17" t="s">
        <v>69</v>
      </c>
      <c r="N3" s="7"/>
    </row>
    <row r="4" spans="1:14" x14ac:dyDescent="0.2">
      <c r="A4" s="2">
        <v>1</v>
      </c>
      <c r="B4" s="2" t="s">
        <v>15</v>
      </c>
      <c r="C4" s="13"/>
      <c r="D4" s="13">
        <v>93</v>
      </c>
      <c r="E4" s="13">
        <v>136</v>
      </c>
      <c r="F4" s="13">
        <v>5.2</v>
      </c>
      <c r="G4" s="13">
        <v>6.9</v>
      </c>
      <c r="H4" s="3">
        <f>215.1/51.408*10</f>
        <v>41.841736694677863</v>
      </c>
      <c r="I4" s="3">
        <f>7337/568</f>
        <v>12.91725352112676</v>
      </c>
      <c r="J4" s="8">
        <f>19051/11254</f>
        <v>1.6928203305491381</v>
      </c>
      <c r="K4" s="9">
        <f>3823/186</f>
        <v>20.553763440860216</v>
      </c>
      <c r="L4" s="9">
        <v>6.92</v>
      </c>
      <c r="M4" s="11" t="s">
        <v>40</v>
      </c>
      <c r="N4" t="s">
        <v>70</v>
      </c>
    </row>
    <row r="5" spans="1:14" x14ac:dyDescent="0.2">
      <c r="A5" s="2">
        <v>2</v>
      </c>
      <c r="B5" s="2" t="s">
        <v>9</v>
      </c>
      <c r="C5" s="13"/>
      <c r="D5" s="13">
        <v>93</v>
      </c>
      <c r="E5" s="13">
        <v>123</v>
      </c>
      <c r="F5" s="13">
        <v>5</v>
      </c>
      <c r="G5" s="13">
        <v>6.4</v>
      </c>
      <c r="H5" s="3">
        <f>158.7/34.895*10</f>
        <v>45.479295027940964</v>
      </c>
      <c r="I5" s="3">
        <f>3416/294</f>
        <v>11.619047619047619</v>
      </c>
      <c r="J5" s="8">
        <f>3800/4335</f>
        <v>0.87658592848904271</v>
      </c>
      <c r="K5" s="9">
        <f>792/38</f>
        <v>20.842105263157894</v>
      </c>
      <c r="L5" s="9">
        <v>6.86</v>
      </c>
      <c r="M5" s="11" t="s">
        <v>41</v>
      </c>
      <c r="N5" t="s">
        <v>71</v>
      </c>
    </row>
    <row r="6" spans="1:14" x14ac:dyDescent="0.2">
      <c r="A6" s="2">
        <v>3</v>
      </c>
      <c r="B6" s="2" t="s">
        <v>10</v>
      </c>
      <c r="C6" s="13"/>
      <c r="D6" s="13">
        <v>86</v>
      </c>
      <c r="E6" s="13">
        <v>134</v>
      </c>
      <c r="F6" s="13">
        <v>5.2</v>
      </c>
      <c r="G6" s="13">
        <v>6.4</v>
      </c>
      <c r="H6" s="3">
        <f>282.1/71.761*10</f>
        <v>39.311046390100479</v>
      </c>
      <c r="I6" s="3">
        <f>26088/1236</f>
        <v>21.106796116504853</v>
      </c>
      <c r="J6" s="8">
        <f>39564/22492</f>
        <v>1.7590254312644495</v>
      </c>
      <c r="K6" s="9">
        <f>2427/126</f>
        <v>19.261904761904763</v>
      </c>
      <c r="L6" s="9">
        <v>6.18</v>
      </c>
      <c r="M6" s="11" t="s">
        <v>42</v>
      </c>
    </row>
    <row r="7" spans="1:14" x14ac:dyDescent="0.2">
      <c r="A7" s="2">
        <v>4</v>
      </c>
      <c r="B7" s="2" t="s">
        <v>26</v>
      </c>
      <c r="C7" s="14"/>
      <c r="D7" s="13">
        <v>46</v>
      </c>
      <c r="E7" s="13">
        <v>115</v>
      </c>
      <c r="F7" s="13">
        <v>4.8</v>
      </c>
      <c r="G7" s="13">
        <v>5.6</v>
      </c>
      <c r="H7" s="3">
        <f>55.3/17.394*10</f>
        <v>31.792572151316548</v>
      </c>
      <c r="I7" s="3">
        <f>16204/1292</f>
        <v>12.541795665634675</v>
      </c>
      <c r="J7" s="8">
        <f>10060/7395</f>
        <v>1.3603786342123056</v>
      </c>
      <c r="K7" s="9">
        <f>7274/341</f>
        <v>21.331378299120235</v>
      </c>
      <c r="L7" s="9">
        <v>6.2</v>
      </c>
      <c r="M7" s="11" t="s">
        <v>43</v>
      </c>
    </row>
    <row r="8" spans="1:14" x14ac:dyDescent="0.2">
      <c r="A8" s="2">
        <v>5</v>
      </c>
      <c r="B8" s="2" t="s">
        <v>16</v>
      </c>
      <c r="C8" s="13"/>
      <c r="D8" s="13">
        <v>89</v>
      </c>
      <c r="E8" s="13">
        <v>142</v>
      </c>
      <c r="F8" s="13">
        <v>5.3</v>
      </c>
      <c r="G8" s="13">
        <v>6.2</v>
      </c>
      <c r="H8" s="3">
        <f>74.4/18.411*10</f>
        <v>40.410624083428388</v>
      </c>
      <c r="I8" s="3">
        <f>5585/407</f>
        <v>13.722358722358722</v>
      </c>
      <c r="J8" s="10">
        <f>4563/7599</f>
        <v>0.60047374654559815</v>
      </c>
      <c r="K8" s="9">
        <f>967/47</f>
        <v>20.574468085106382</v>
      </c>
      <c r="L8" s="9">
        <v>4.88</v>
      </c>
      <c r="M8" s="11" t="s">
        <v>44</v>
      </c>
    </row>
    <row r="9" spans="1:14" x14ac:dyDescent="0.2">
      <c r="A9" s="2">
        <v>6</v>
      </c>
      <c r="B9" s="2" t="s">
        <v>33</v>
      </c>
      <c r="C9" s="13"/>
      <c r="D9" s="13">
        <v>99</v>
      </c>
      <c r="E9" s="13">
        <v>127</v>
      </c>
      <c r="F9" s="13">
        <v>5.5</v>
      </c>
      <c r="G9" s="13">
        <v>7</v>
      </c>
      <c r="H9" s="3">
        <f>38/15.867*10</f>
        <v>23.949076700069327</v>
      </c>
      <c r="I9" s="3">
        <f>14224/1147</f>
        <v>12.401046207497821</v>
      </c>
      <c r="J9" s="8">
        <f>10256/8775</f>
        <v>1.1687749287749287</v>
      </c>
      <c r="K9" s="9">
        <f>3793/193</f>
        <v>19.652849740932641</v>
      </c>
      <c r="L9" s="9">
        <v>2.89</v>
      </c>
      <c r="M9" s="11" t="s">
        <v>45</v>
      </c>
    </row>
    <row r="10" spans="1:14" x14ac:dyDescent="0.2">
      <c r="A10" s="2">
        <v>7</v>
      </c>
      <c r="B10" s="2" t="s">
        <v>17</v>
      </c>
      <c r="C10" s="13"/>
      <c r="D10" s="13">
        <v>87</v>
      </c>
      <c r="E10" s="13">
        <v>127</v>
      </c>
      <c r="F10" s="13">
        <v>5.2</v>
      </c>
      <c r="G10" s="13">
        <v>6.6</v>
      </c>
      <c r="H10" s="3">
        <f>110/29.344*10</f>
        <v>37.486368593238822</v>
      </c>
      <c r="I10" s="3">
        <f>11361/903</f>
        <v>12.581395348837209</v>
      </c>
      <c r="J10" s="8">
        <f>4411/2901</f>
        <v>1.5205101689072733</v>
      </c>
      <c r="K10" s="9">
        <f>4705/223</f>
        <v>21.098654708520179</v>
      </c>
      <c r="L10" s="9">
        <v>5.33</v>
      </c>
      <c r="M10" s="11" t="s">
        <v>46</v>
      </c>
    </row>
    <row r="11" spans="1:14" x14ac:dyDescent="0.2">
      <c r="A11" s="2">
        <v>8</v>
      </c>
      <c r="B11" s="2" t="s">
        <v>21</v>
      </c>
      <c r="C11" s="13"/>
      <c r="D11" s="13">
        <v>61</v>
      </c>
      <c r="E11" s="13">
        <v>125</v>
      </c>
      <c r="F11" s="13">
        <v>4.7</v>
      </c>
      <c r="G11" s="13">
        <v>5.0999999999999996</v>
      </c>
      <c r="H11" s="3">
        <f>84.4/22.349*10</f>
        <v>37.764553223857895</v>
      </c>
      <c r="I11" s="3">
        <f>3222/277</f>
        <v>11.631768953068592</v>
      </c>
      <c r="J11" s="8">
        <f>12181/10002</f>
        <v>1.2178564287142573</v>
      </c>
      <c r="K11" s="9">
        <f>1112/56</f>
        <v>19.857142857142858</v>
      </c>
      <c r="L11" s="9">
        <v>6.93</v>
      </c>
      <c r="M11" s="11" t="s">
        <v>47</v>
      </c>
    </row>
    <row r="12" spans="1:14" x14ac:dyDescent="0.2">
      <c r="A12" s="2">
        <v>9</v>
      </c>
      <c r="B12" s="2" t="s">
        <v>18</v>
      </c>
      <c r="C12" s="13"/>
      <c r="D12" s="13">
        <v>77</v>
      </c>
      <c r="E12" s="13">
        <v>108</v>
      </c>
      <c r="F12" s="13">
        <v>4.5999999999999996</v>
      </c>
      <c r="G12" s="13">
        <v>5.2</v>
      </c>
      <c r="H12" s="3">
        <f>299/68.699*10</f>
        <v>43.523195388579161</v>
      </c>
      <c r="I12" s="3">
        <f>10247/826</f>
        <v>12.405569007263923</v>
      </c>
      <c r="J12" s="8">
        <f>31062/29056</f>
        <v>1.0690390969162995</v>
      </c>
      <c r="K12" s="9">
        <f>3134/146</f>
        <v>21.465753424657535</v>
      </c>
      <c r="L12" s="9">
        <v>6.66</v>
      </c>
      <c r="M12" s="11" t="s">
        <v>48</v>
      </c>
      <c r="N12" t="s">
        <v>68</v>
      </c>
    </row>
    <row r="13" spans="1:14" x14ac:dyDescent="0.2">
      <c r="A13" s="2">
        <v>10</v>
      </c>
      <c r="B13" s="2" t="s">
        <v>28</v>
      </c>
      <c r="C13" s="13"/>
      <c r="D13" s="13">
        <v>85</v>
      </c>
      <c r="E13" s="13">
        <v>144</v>
      </c>
      <c r="F13" s="13">
        <v>5</v>
      </c>
      <c r="G13" s="13">
        <v>6.8</v>
      </c>
      <c r="H13" s="3">
        <f>78/24.953*10</f>
        <v>31.258766480984249</v>
      </c>
      <c r="I13" s="3">
        <f>9347/733</f>
        <v>12.751705320600273</v>
      </c>
      <c r="J13" s="8">
        <f>20551/15504</f>
        <v>1.3255288957688338</v>
      </c>
      <c r="K13" s="9">
        <f>1660/81</f>
        <v>20.493827160493826</v>
      </c>
      <c r="L13" s="9">
        <v>4.05</v>
      </c>
      <c r="M13" s="11" t="s">
        <v>49</v>
      </c>
    </row>
    <row r="14" spans="1:14" x14ac:dyDescent="0.2">
      <c r="A14" s="2">
        <v>11</v>
      </c>
      <c r="B14" s="2" t="s">
        <v>11</v>
      </c>
      <c r="C14" s="13"/>
      <c r="D14" s="13">
        <v>73</v>
      </c>
      <c r="E14" s="13">
        <v>125</v>
      </c>
      <c r="F14" s="13">
        <v>4.8</v>
      </c>
      <c r="G14" s="13">
        <v>5.6</v>
      </c>
      <c r="H14" s="3">
        <f>216.9/52.335*10</f>
        <v>41.444539982803093</v>
      </c>
      <c r="I14" s="3">
        <f>5902/493</f>
        <v>11.971602434077079</v>
      </c>
      <c r="J14" s="8">
        <f>27120/18701</f>
        <v>1.4501898294208866</v>
      </c>
      <c r="K14" s="9">
        <f>1389/86</f>
        <v>16.151162790697676</v>
      </c>
      <c r="L14" s="9">
        <v>5.77</v>
      </c>
      <c r="M14" s="11" t="s">
        <v>50</v>
      </c>
    </row>
    <row r="15" spans="1:14" x14ac:dyDescent="0.2">
      <c r="A15" s="2">
        <v>12</v>
      </c>
      <c r="B15" s="2" t="s">
        <v>29</v>
      </c>
      <c r="C15" s="13"/>
      <c r="D15" s="13">
        <v>66</v>
      </c>
      <c r="E15" s="13">
        <v>115</v>
      </c>
      <c r="F15" s="13">
        <v>5</v>
      </c>
      <c r="G15" s="13">
        <v>6.9</v>
      </c>
      <c r="H15" s="8">
        <f>55.2/19.181*10</f>
        <v>28.778478702883064</v>
      </c>
      <c r="I15" s="3">
        <f>13955/1105</f>
        <v>12.628959276018099</v>
      </c>
      <c r="J15" s="8">
        <f>11897/6894</f>
        <v>1.7257035102988105</v>
      </c>
      <c r="K15" s="9">
        <f>3293/161</f>
        <v>20.453416149068325</v>
      </c>
      <c r="L15" s="9">
        <v>3.95</v>
      </c>
      <c r="M15" s="11" t="s">
        <v>44</v>
      </c>
    </row>
    <row r="16" spans="1:14" x14ac:dyDescent="0.2">
      <c r="A16" s="2">
        <v>13</v>
      </c>
      <c r="B16" s="2" t="s">
        <v>30</v>
      </c>
      <c r="C16" s="13"/>
      <c r="D16" s="13">
        <v>83</v>
      </c>
      <c r="E16" s="13">
        <v>136</v>
      </c>
      <c r="F16" s="13">
        <v>5.0999999999999996</v>
      </c>
      <c r="G16" s="13">
        <v>7</v>
      </c>
      <c r="H16" s="8">
        <f>100.7/26.198*10</f>
        <v>38.43804870600809</v>
      </c>
      <c r="I16" s="3">
        <f>9493/706</f>
        <v>13.446175637393768</v>
      </c>
      <c r="J16" s="8">
        <f>29223/15213</f>
        <v>1.9209228948925261</v>
      </c>
      <c r="K16" s="9">
        <f>2351/98</f>
        <v>23.989795918367346</v>
      </c>
      <c r="L16" s="9">
        <v>3.66</v>
      </c>
      <c r="M16" s="11" t="s">
        <v>51</v>
      </c>
    </row>
    <row r="17" spans="1:13" x14ac:dyDescent="0.2">
      <c r="A17" s="2">
        <v>14</v>
      </c>
      <c r="B17" s="2" t="s">
        <v>22</v>
      </c>
      <c r="C17" s="13"/>
      <c r="D17" s="13">
        <v>108</v>
      </c>
      <c r="E17" s="13">
        <v>152</v>
      </c>
      <c r="F17" s="13">
        <v>5.2</v>
      </c>
      <c r="G17" s="13">
        <v>6.3</v>
      </c>
      <c r="H17" s="8">
        <f>100.6/26.966*10</f>
        <v>37.306237484239411</v>
      </c>
      <c r="I17" s="3">
        <f>9976/851</f>
        <v>11.722679200940071</v>
      </c>
      <c r="J17" s="8">
        <f>11234/10777</f>
        <v>1.0424051220191148</v>
      </c>
      <c r="K17" s="9">
        <f>2765/134</f>
        <v>20.634328358208954</v>
      </c>
      <c r="L17" s="9">
        <v>6.31</v>
      </c>
      <c r="M17" s="11" t="s">
        <v>52</v>
      </c>
    </row>
    <row r="18" spans="1:13" x14ac:dyDescent="0.2">
      <c r="A18" s="2">
        <v>15</v>
      </c>
      <c r="B18" s="2" t="s">
        <v>12</v>
      </c>
      <c r="C18" s="13"/>
      <c r="D18" s="13">
        <v>55</v>
      </c>
      <c r="E18" s="13">
        <v>117</v>
      </c>
      <c r="F18" s="13">
        <v>4.9000000000000004</v>
      </c>
      <c r="G18" s="13">
        <v>6.7</v>
      </c>
      <c r="H18" s="8">
        <f>106.3/30.951*10</f>
        <v>34.344609221026786</v>
      </c>
      <c r="I18" s="3">
        <f>4461/365</f>
        <v>12.221917808219178</v>
      </c>
      <c r="J18" s="8">
        <f>19619/18224</f>
        <v>1.0765474100087797</v>
      </c>
      <c r="K18" s="9">
        <f>1220/61</f>
        <v>20</v>
      </c>
      <c r="L18" s="9">
        <v>5.25</v>
      </c>
      <c r="M18" s="11" t="s">
        <v>53</v>
      </c>
    </row>
    <row r="19" spans="1:13" x14ac:dyDescent="0.2">
      <c r="A19" s="2">
        <v>16</v>
      </c>
      <c r="B19" s="2" t="s">
        <v>23</v>
      </c>
      <c r="C19" s="13"/>
      <c r="D19" s="13">
        <v>80</v>
      </c>
      <c r="E19" s="13">
        <v>109</v>
      </c>
      <c r="F19" s="13">
        <v>4.9000000000000004</v>
      </c>
      <c r="G19" s="13">
        <v>5.3</v>
      </c>
      <c r="H19" s="8">
        <f>174.8/51.096*10</f>
        <v>34.210114294661039</v>
      </c>
      <c r="I19" s="3">
        <f>18703/1438</f>
        <v>13.00625869262865</v>
      </c>
      <c r="J19" s="8">
        <f>20357/15009</f>
        <v>1.3563195416083682</v>
      </c>
      <c r="K19" s="9">
        <f>4995/98</f>
        <v>50.969387755102041</v>
      </c>
      <c r="L19" s="9">
        <v>6.54</v>
      </c>
      <c r="M19" s="11" t="s">
        <v>54</v>
      </c>
    </row>
    <row r="20" spans="1:13" x14ac:dyDescent="0.2">
      <c r="A20" s="2">
        <v>17</v>
      </c>
      <c r="B20" s="2" t="s">
        <v>25</v>
      </c>
      <c r="C20" s="13"/>
      <c r="D20" s="13">
        <v>73</v>
      </c>
      <c r="E20" s="13">
        <v>116</v>
      </c>
      <c r="F20" s="13">
        <v>4.9000000000000004</v>
      </c>
      <c r="G20" s="13">
        <v>5.5</v>
      </c>
      <c r="H20" s="8">
        <f>139.7/37.662*10</f>
        <v>37.093091179438161</v>
      </c>
      <c r="I20" s="3">
        <f>23999/1695</f>
        <v>14.158702064896755</v>
      </c>
      <c r="J20" s="8">
        <f>14627/9638</f>
        <v>1.5176385142145674</v>
      </c>
      <c r="K20" s="9">
        <f>6595/320</f>
        <v>20.609375</v>
      </c>
      <c r="L20" s="9">
        <v>5.4</v>
      </c>
      <c r="M20" s="11" t="s">
        <v>55</v>
      </c>
    </row>
    <row r="21" spans="1:13" x14ac:dyDescent="0.2">
      <c r="A21" s="2">
        <v>18</v>
      </c>
      <c r="B21" s="2" t="s">
        <v>24</v>
      </c>
      <c r="C21" s="13"/>
      <c r="D21" s="13">
        <v>112</v>
      </c>
      <c r="E21" s="13">
        <v>147</v>
      </c>
      <c r="F21" s="13">
        <v>5</v>
      </c>
      <c r="G21" s="13">
        <v>5.2</v>
      </c>
      <c r="H21" s="8">
        <f>62.9/16.129*10</f>
        <v>38.998077996155985</v>
      </c>
      <c r="I21" s="3">
        <f>9394/719</f>
        <v>13.065368567454799</v>
      </c>
      <c r="J21" s="8">
        <f>6443/11867</f>
        <v>0.54293418724193143</v>
      </c>
      <c r="K21" s="9">
        <f>1974/135</f>
        <v>14.622222222222222</v>
      </c>
      <c r="L21" s="9">
        <v>5.73</v>
      </c>
      <c r="M21" s="11" t="s">
        <v>56</v>
      </c>
    </row>
    <row r="22" spans="1:13" x14ac:dyDescent="0.2">
      <c r="A22" s="2">
        <v>19</v>
      </c>
      <c r="B22" s="2" t="s">
        <v>31</v>
      </c>
      <c r="C22" s="13"/>
      <c r="D22" s="13">
        <v>70</v>
      </c>
      <c r="E22" s="13">
        <v>117</v>
      </c>
      <c r="F22" s="13">
        <v>4.8</v>
      </c>
      <c r="G22" s="13">
        <v>5.8</v>
      </c>
      <c r="H22" s="8">
        <f>44.6/20.049*10</f>
        <v>22.245498528604919</v>
      </c>
      <c r="I22" s="3">
        <f>6002/466</f>
        <v>12.879828326180258</v>
      </c>
      <c r="J22" s="8">
        <f>15692/11867</f>
        <v>1.3223224066739698</v>
      </c>
      <c r="K22" s="9">
        <f>1974/96</f>
        <v>20.5625</v>
      </c>
      <c r="L22" s="9">
        <v>3.73</v>
      </c>
      <c r="M22" s="11" t="s">
        <v>57</v>
      </c>
    </row>
    <row r="23" spans="1:13" x14ac:dyDescent="0.2">
      <c r="A23" s="2">
        <v>20</v>
      </c>
      <c r="B23" s="2" t="s">
        <v>34</v>
      </c>
      <c r="C23" s="13"/>
      <c r="D23" s="13">
        <v>46</v>
      </c>
      <c r="E23" s="13">
        <v>108</v>
      </c>
      <c r="F23" s="13">
        <v>4.7</v>
      </c>
      <c r="G23" s="13">
        <v>4.5</v>
      </c>
      <c r="H23" s="8">
        <f>11.9/4.3*10</f>
        <v>27.674418604651162</v>
      </c>
      <c r="I23" s="3">
        <f>8221/653</f>
        <v>12.5895865237366</v>
      </c>
      <c r="J23" s="8">
        <f>2236/1709</f>
        <v>1.3083674663545932</v>
      </c>
      <c r="K23" s="9">
        <f>1697/81</f>
        <v>20.950617283950617</v>
      </c>
      <c r="L23" s="9">
        <v>2.33</v>
      </c>
      <c r="M23" s="11" t="s">
        <v>58</v>
      </c>
    </row>
    <row r="24" spans="1:13" x14ac:dyDescent="0.2">
      <c r="A24" s="2">
        <v>21</v>
      </c>
      <c r="B24" s="2" t="s">
        <v>19</v>
      </c>
      <c r="C24" s="13"/>
      <c r="D24" s="13">
        <v>78</v>
      </c>
      <c r="E24" s="13">
        <v>137</v>
      </c>
      <c r="F24" s="13">
        <v>4.8</v>
      </c>
      <c r="G24" s="13">
        <v>4.2</v>
      </c>
      <c r="H24" s="8">
        <f>101.6/25.794*10</f>
        <v>39.38900519500659</v>
      </c>
      <c r="I24" s="3">
        <f>6261/521</f>
        <v>12.017274472168905</v>
      </c>
      <c r="J24" s="8">
        <f>15555/10032</f>
        <v>1.5505382775119618</v>
      </c>
      <c r="K24" s="9">
        <f>2997/146</f>
        <v>20.527397260273972</v>
      </c>
      <c r="L24" s="9">
        <v>4.8099999999999996</v>
      </c>
      <c r="M24" s="11" t="s">
        <v>59</v>
      </c>
    </row>
    <row r="25" spans="1:13" x14ac:dyDescent="0.2">
      <c r="A25" s="2">
        <v>22</v>
      </c>
      <c r="B25" s="2" t="s">
        <v>27</v>
      </c>
      <c r="C25" s="13"/>
      <c r="D25" s="13">
        <v>56</v>
      </c>
      <c r="E25" s="13">
        <v>112</v>
      </c>
      <c r="F25" s="13">
        <v>5</v>
      </c>
      <c r="G25" s="13">
        <v>4.4000000000000004</v>
      </c>
      <c r="H25" s="8">
        <f>274/64.14*10</f>
        <v>42.719052073589026</v>
      </c>
      <c r="I25" s="3">
        <f>30912/1705</f>
        <v>18.130205278592374</v>
      </c>
      <c r="J25" s="8">
        <f>33443/24906</f>
        <v>1.3427688107283386</v>
      </c>
      <c r="K25" s="9">
        <f>13914/461</f>
        <v>30.182212581344903</v>
      </c>
      <c r="L25" s="9">
        <v>6.62</v>
      </c>
      <c r="M25" s="11" t="s">
        <v>60</v>
      </c>
    </row>
    <row r="26" spans="1:13" x14ac:dyDescent="0.2">
      <c r="A26" s="2">
        <v>23</v>
      </c>
      <c r="B26" s="2" t="s">
        <v>13</v>
      </c>
      <c r="C26" s="13"/>
      <c r="D26" s="13">
        <v>76</v>
      </c>
      <c r="E26" s="13">
        <v>123</v>
      </c>
      <c r="F26" s="13">
        <v>5.2</v>
      </c>
      <c r="G26" s="13">
        <v>4.3</v>
      </c>
      <c r="H26" s="8">
        <f>162.7/40.959*10</f>
        <v>39.72264947874703</v>
      </c>
      <c r="I26" s="3">
        <f>4891/400</f>
        <v>12.227499999999999</v>
      </c>
      <c r="J26" s="8">
        <f>31578/20884</f>
        <v>1.5120666538977208</v>
      </c>
      <c r="K26" s="9">
        <f>1614/76</f>
        <v>21.236842105263158</v>
      </c>
      <c r="L26" s="9">
        <v>5.53</v>
      </c>
      <c r="M26" s="11" t="s">
        <v>61</v>
      </c>
    </row>
    <row r="27" spans="1:13" x14ac:dyDescent="0.2">
      <c r="A27" s="2">
        <v>24</v>
      </c>
      <c r="B27" s="2" t="s">
        <v>35</v>
      </c>
      <c r="C27" s="13"/>
      <c r="D27" s="13">
        <v>50</v>
      </c>
      <c r="E27" s="13">
        <v>126</v>
      </c>
      <c r="F27" s="13">
        <v>5.0999999999999996</v>
      </c>
      <c r="G27" s="13">
        <v>4.5</v>
      </c>
      <c r="H27" s="8">
        <f>10.3/5.066*10</f>
        <v>20.331622581918673</v>
      </c>
      <c r="I27" s="3">
        <f>7086/534</f>
        <v>13.269662921348315</v>
      </c>
      <c r="J27" s="8">
        <f>3279/3263</f>
        <v>1.0049034630707938</v>
      </c>
      <c r="K27" s="9">
        <f>1996/76</f>
        <v>26.263157894736842</v>
      </c>
      <c r="L27" s="9">
        <v>3.08</v>
      </c>
      <c r="M27" s="11" t="s">
        <v>62</v>
      </c>
    </row>
    <row r="28" spans="1:13" x14ac:dyDescent="0.2">
      <c r="A28" s="2">
        <v>25</v>
      </c>
      <c r="B28" s="2" t="s">
        <v>20</v>
      </c>
      <c r="C28" s="13"/>
      <c r="D28" s="13">
        <v>61</v>
      </c>
      <c r="E28" s="13">
        <v>110</v>
      </c>
      <c r="F28" s="13">
        <v>4.4000000000000004</v>
      </c>
      <c r="G28" s="13">
        <v>3.2</v>
      </c>
      <c r="H28" s="8">
        <f>88.8/19.022*10</f>
        <v>46.682788350331201</v>
      </c>
      <c r="I28" s="3">
        <f>5075/409</f>
        <v>12.408312958435207</v>
      </c>
      <c r="J28" s="8">
        <f>8133/6030</f>
        <v>1.3487562189054727</v>
      </c>
      <c r="K28" s="9">
        <f>1330/64</f>
        <v>20.78125</v>
      </c>
      <c r="L28" s="9">
        <v>6.63</v>
      </c>
      <c r="M28" s="11" t="s">
        <v>63</v>
      </c>
    </row>
    <row r="29" spans="1:13" x14ac:dyDescent="0.2">
      <c r="A29" s="2">
        <v>26</v>
      </c>
      <c r="B29" s="2" t="s">
        <v>14</v>
      </c>
      <c r="C29" s="13"/>
      <c r="D29" s="13">
        <v>49</v>
      </c>
      <c r="E29" s="13">
        <v>95</v>
      </c>
      <c r="F29" s="13">
        <v>4.0999999999999996</v>
      </c>
      <c r="G29" s="13">
        <v>3.4</v>
      </c>
      <c r="H29" s="8">
        <f>181.3/45.16*10</f>
        <v>40.146147032772376</v>
      </c>
      <c r="I29" s="3">
        <f>6981/581</f>
        <v>12.015490533562822</v>
      </c>
      <c r="J29" s="8">
        <f>31934/18115</f>
        <v>1.7628484681203422</v>
      </c>
      <c r="K29" s="9">
        <f>2740/132</f>
        <v>20.757575757575758</v>
      </c>
      <c r="L29" s="9">
        <v>8.56</v>
      </c>
      <c r="M29" s="11" t="s">
        <v>64</v>
      </c>
    </row>
    <row r="30" spans="1:13" x14ac:dyDescent="0.2">
      <c r="A30" s="2">
        <v>27</v>
      </c>
      <c r="B30" s="2" t="s">
        <v>32</v>
      </c>
      <c r="C30" s="13"/>
      <c r="D30" s="13">
        <v>47</v>
      </c>
      <c r="E30" s="13">
        <v>92</v>
      </c>
      <c r="F30" s="13">
        <v>4.0999999999999996</v>
      </c>
      <c r="G30" s="13">
        <v>4.5999999999999996</v>
      </c>
      <c r="H30" s="8">
        <f>42.6/17.304*10</f>
        <v>24.618585298196951</v>
      </c>
      <c r="I30" s="3">
        <f>13768/1042</f>
        <v>13.213051823416507</v>
      </c>
      <c r="J30" s="8">
        <f>17178/14627</f>
        <v>1.1744035003760169</v>
      </c>
      <c r="K30" s="9">
        <f>9452/426</f>
        <v>22.187793427230048</v>
      </c>
      <c r="L30" s="9">
        <v>3.79</v>
      </c>
      <c r="M30" s="11" t="s">
        <v>65</v>
      </c>
    </row>
    <row r="31" spans="1:13" x14ac:dyDescent="0.2">
      <c r="A31" s="2"/>
      <c r="B31" s="4"/>
      <c r="C31" s="15"/>
      <c r="D31" s="15"/>
      <c r="E31" s="15"/>
      <c r="F31" s="15"/>
      <c r="G31" s="15"/>
      <c r="H31" s="5"/>
      <c r="K31" s="5">
        <f t="shared" ref="K31:L31" si="0">SUM(K4:K30)/27</f>
        <v>22.074477120219942</v>
      </c>
      <c r="L31" s="5">
        <f t="shared" si="0"/>
        <v>5.355185185185185</v>
      </c>
      <c r="M31" s="5"/>
    </row>
    <row r="32" spans="1:13" x14ac:dyDescent="0.2">
      <c r="I32" s="5"/>
      <c r="J32" s="5"/>
    </row>
    <row r="33" spans="13:13" x14ac:dyDescent="0.2">
      <c r="M33" s="18" t="s">
        <v>72</v>
      </c>
    </row>
  </sheetData>
  <sortState xmlns:xlrd2="http://schemas.microsoft.com/office/spreadsheetml/2017/richdata2" ref="B4:B30">
    <sortCondition ref="B4:B30"/>
  </sortState>
  <mergeCells count="5">
    <mergeCell ref="A2:A3"/>
    <mergeCell ref="B2:B3"/>
    <mergeCell ref="C2:C3"/>
    <mergeCell ref="D2:G2"/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>ФГБОУ ВО Пензенский ГАУ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Egor</cp:lastModifiedBy>
  <dcterms:created xsi:type="dcterms:W3CDTF">2022-10-03T12:45:43Z</dcterms:created>
  <dcterms:modified xsi:type="dcterms:W3CDTF">2024-07-20T21:08:23Z</dcterms:modified>
</cp:coreProperties>
</file>